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oon-my.sharepoint.com/personal/pasch_zone_college/Documents/Lessen 22-23/Plant/PT3 P15 Kostprijsberekening/"/>
    </mc:Choice>
  </mc:AlternateContent>
  <xr:revisionPtr revIDLastSave="885" documentId="14_{D69D19BB-79DD-4B79-BF72-233EA460CF41}" xr6:coauthVersionLast="47" xr6:coauthVersionMax="47" xr10:uidLastSave="{CA732E9C-513B-42EC-98B6-38B5CC6B306F}"/>
  <bookViews>
    <workbookView xWindow="1750" yWindow="-110" windowWidth="17560" windowHeight="11020" tabRatio="863" xr2:uid="{BBFB8D1F-C42E-4E73-B202-4CA7449D1A95}"/>
  </bookViews>
  <sheets>
    <sheet name="1 Uitleg" sheetId="11" r:id="rId1"/>
    <sheet name="2 Opdrachten" sheetId="12" r:id="rId2"/>
    <sheet name="3 Loon" sheetId="8" r:id="rId3"/>
    <sheet name="A. Opbrengsten" sheetId="2" r:id="rId4"/>
    <sheet name="B Dir.kn teelt" sheetId="1" r:id="rId5"/>
    <sheet name="C Dir.kn arbeid" sheetId="7" r:id="rId6"/>
    <sheet name="D DPM-Grond" sheetId="6" r:id="rId7"/>
    <sheet name="E DPM-Gebouwen" sheetId="4" r:id="rId8"/>
    <sheet name="F DPM-Machines" sheetId="5" r:id="rId9"/>
    <sheet name="G Alg kn" sheetId="10" r:id="rId10"/>
    <sheet name="Saldo en KP" sheetId="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3" l="1"/>
  <c r="C30" i="3" s="1"/>
  <c r="C21" i="3"/>
  <c r="C20" i="3"/>
  <c r="C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E17" i="10"/>
  <c r="E2" i="10"/>
  <c r="M12" i="5"/>
  <c r="K12" i="5"/>
  <c r="L9" i="5"/>
  <c r="M9" i="5" s="1"/>
  <c r="L7" i="5"/>
  <c r="L8" i="5" s="1"/>
  <c r="M6" i="5"/>
  <c r="L6" i="5"/>
  <c r="M5" i="5"/>
  <c r="O10" i="4"/>
  <c r="O12" i="4" s="1"/>
  <c r="N6" i="4"/>
  <c r="N7" i="4" s="1"/>
  <c r="N8" i="4" s="1"/>
  <c r="L9" i="4"/>
  <c r="M9" i="4" s="1"/>
  <c r="L8" i="4"/>
  <c r="M8" i="4" s="1"/>
  <c r="L7" i="4"/>
  <c r="M7" i="4" s="1"/>
  <c r="L6" i="4"/>
  <c r="J9" i="4"/>
  <c r="J8" i="4"/>
  <c r="J7" i="4"/>
  <c r="J6" i="4"/>
  <c r="H9" i="4"/>
  <c r="H8" i="4"/>
  <c r="H7" i="4"/>
  <c r="H6" i="4"/>
  <c r="H14" i="6"/>
  <c r="G6" i="6"/>
  <c r="H6" i="6" s="1"/>
  <c r="H5" i="6"/>
  <c r="E5" i="7"/>
  <c r="C2" i="2"/>
  <c r="L28" i="4"/>
  <c r="L27" i="4"/>
  <c r="L26" i="4"/>
  <c r="L25" i="4"/>
  <c r="L24" i="4"/>
  <c r="L23" i="4"/>
  <c r="L22" i="4"/>
  <c r="L21" i="4"/>
  <c r="L20" i="4"/>
  <c r="L19" i="4"/>
  <c r="D4" i="2"/>
  <c r="J2" i="8"/>
  <c r="F24" i="8"/>
  <c r="F25" i="8"/>
  <c r="F26" i="8"/>
  <c r="F27" i="8"/>
  <c r="F28" i="8"/>
  <c r="F29" i="8"/>
  <c r="F23" i="8"/>
  <c r="J29" i="8"/>
  <c r="J27" i="8"/>
  <c r="K27" i="8" s="1"/>
  <c r="J28" i="8"/>
  <c r="J26" i="8"/>
  <c r="K26" i="8" s="1"/>
  <c r="J24" i="8"/>
  <c r="J25" i="8"/>
  <c r="J23" i="8"/>
  <c r="H25" i="8"/>
  <c r="H23" i="8"/>
  <c r="H24" i="8"/>
  <c r="C24" i="8"/>
  <c r="I24" i="8" s="1"/>
  <c r="L24" i="8" s="1"/>
  <c r="C25" i="8"/>
  <c r="I25" i="8" s="1"/>
  <c r="L25" i="8" s="1"/>
  <c r="C26" i="8"/>
  <c r="G26" i="8" s="1"/>
  <c r="C27" i="8"/>
  <c r="G27" i="8" s="1"/>
  <c r="C28" i="8"/>
  <c r="I28" i="8" s="1"/>
  <c r="L28" i="8" s="1"/>
  <c r="C29" i="8"/>
  <c r="I29" i="8" s="1"/>
  <c r="L29" i="8" s="1"/>
  <c r="C23" i="8"/>
  <c r="G23" i="8" s="1"/>
  <c r="H7" i="8"/>
  <c r="L7" i="8" s="1"/>
  <c r="H6" i="8"/>
  <c r="I6" i="8" s="1"/>
  <c r="H5" i="8"/>
  <c r="I5" i="8" s="1"/>
  <c r="B4" i="2"/>
  <c r="F3" i="7" s="1"/>
  <c r="D2" i="3"/>
  <c r="F17" i="1"/>
  <c r="F18" i="1"/>
  <c r="F19" i="1"/>
  <c r="F20" i="1"/>
  <c r="F21" i="1"/>
  <c r="F22" i="1"/>
  <c r="L10" i="5" l="1"/>
  <c r="M8" i="5"/>
  <c r="M7" i="5"/>
  <c r="N9" i="4"/>
  <c r="O9" i="4" s="1"/>
  <c r="O8" i="4"/>
  <c r="O7" i="4"/>
  <c r="G25" i="8"/>
  <c r="G7" i="6"/>
  <c r="G28" i="8"/>
  <c r="K25" i="8"/>
  <c r="G29" i="8"/>
  <c r="G24" i="8"/>
  <c r="K24" i="8"/>
  <c r="I26" i="8"/>
  <c r="L26" i="8" s="1"/>
  <c r="I27" i="8"/>
  <c r="L27" i="8" s="1"/>
  <c r="K23" i="8"/>
  <c r="K29" i="8"/>
  <c r="I23" i="8"/>
  <c r="L23" i="8" s="1"/>
  <c r="K28" i="8"/>
  <c r="I7" i="8"/>
  <c r="G7" i="8"/>
  <c r="F8" i="1"/>
  <c r="F9" i="1"/>
  <c r="J11" i="5"/>
  <c r="J10" i="5"/>
  <c r="J9" i="5"/>
  <c r="J8" i="5"/>
  <c r="J7" i="5"/>
  <c r="K7" i="5" s="1"/>
  <c r="J6" i="5"/>
  <c r="H11" i="5"/>
  <c r="H10" i="5"/>
  <c r="H9" i="5"/>
  <c r="H8" i="5"/>
  <c r="H7" i="5"/>
  <c r="H6" i="5"/>
  <c r="F11" i="5"/>
  <c r="F10" i="5"/>
  <c r="F9" i="5"/>
  <c r="F8" i="5"/>
  <c r="F7" i="5"/>
  <c r="F6" i="5"/>
  <c r="M6" i="4"/>
  <c r="O6" i="4" s="1"/>
  <c r="M10" i="5" l="1"/>
  <c r="L11" i="5"/>
  <c r="M11" i="5" s="1"/>
  <c r="H7" i="6"/>
  <c r="G8" i="6"/>
  <c r="K8" i="5"/>
  <c r="K10" i="5"/>
  <c r="K9" i="5"/>
  <c r="K11" i="5"/>
  <c r="K6" i="5"/>
  <c r="J5" i="8"/>
  <c r="K5" i="8" s="1"/>
  <c r="E25" i="7"/>
  <c r="E11" i="8" s="1"/>
  <c r="M23" i="8" s="1"/>
  <c r="N23" i="8" s="1"/>
  <c r="M26" i="8" l="1"/>
  <c r="N26" i="8" s="1"/>
  <c r="M24" i="8"/>
  <c r="N24" i="8" s="1"/>
  <c r="M25" i="8"/>
  <c r="N25" i="8" s="1"/>
  <c r="M28" i="8"/>
  <c r="N28" i="8" s="1"/>
  <c r="M29" i="8"/>
  <c r="N29" i="8" s="1"/>
  <c r="M27" i="8"/>
  <c r="N27" i="8" s="1"/>
  <c r="G9" i="6"/>
  <c r="H9" i="6" s="1"/>
  <c r="H8" i="6"/>
  <c r="E6" i="8"/>
  <c r="H8" i="8"/>
  <c r="D8" i="8"/>
  <c r="D7" i="8"/>
  <c r="F5" i="8"/>
  <c r="F6" i="8"/>
  <c r="E5" i="8"/>
  <c r="L5" i="8" s="1"/>
  <c r="F6" i="7"/>
  <c r="F7" i="7"/>
  <c r="F8" i="7"/>
  <c r="F9" i="7"/>
  <c r="F10" i="7"/>
  <c r="F5" i="7"/>
  <c r="D5" i="2"/>
  <c r="G8" i="8" l="1"/>
  <c r="I8" i="8"/>
  <c r="J8" i="8" s="1"/>
  <c r="K8" i="8" s="1"/>
  <c r="L8" i="8" s="1"/>
  <c r="K7" i="8"/>
  <c r="D9" i="8"/>
  <c r="E9" i="8"/>
  <c r="F11" i="7"/>
  <c r="E4" i="6"/>
  <c r="F4" i="6" s="1"/>
  <c r="H4" i="6" l="1"/>
  <c r="F10" i="6"/>
  <c r="J6" i="8"/>
  <c r="I9" i="8"/>
  <c r="K11" i="8" s="1"/>
  <c r="C10" i="6"/>
  <c r="C10" i="4"/>
  <c r="F5" i="4"/>
  <c r="C5" i="2"/>
  <c r="H12" i="6" s="1"/>
  <c r="C13" i="3"/>
  <c r="F4" i="2"/>
  <c r="C28" i="3" l="1"/>
  <c r="H13" i="6"/>
  <c r="C21" i="10"/>
  <c r="C19" i="10"/>
  <c r="C29" i="3"/>
  <c r="C20" i="10"/>
  <c r="L5" i="4"/>
  <c r="F10" i="4"/>
  <c r="K6" i="8"/>
  <c r="J9" i="8"/>
  <c r="H5" i="4"/>
  <c r="J5" i="4"/>
  <c r="L6" i="8" l="1"/>
  <c r="K13" i="8" s="1"/>
  <c r="G5" i="7" s="1"/>
  <c r="K9" i="8"/>
  <c r="K12" i="8" s="1"/>
  <c r="G12" i="7" s="1"/>
  <c r="M5" i="4"/>
  <c r="F12" i="7"/>
  <c r="F13" i="7" s="1"/>
  <c r="E26" i="7" s="1"/>
  <c r="E27" i="7" s="1"/>
  <c r="M10" i="4" l="1"/>
  <c r="O5" i="4"/>
  <c r="C11" i="3"/>
  <c r="O13" i="4"/>
  <c r="O14" i="4"/>
  <c r="G6" i="7"/>
  <c r="H6" i="7" s="1"/>
  <c r="H5" i="7"/>
  <c r="J5" i="5"/>
  <c r="H5" i="5"/>
  <c r="H12" i="5" s="1"/>
  <c r="F5" i="5"/>
  <c r="F12" i="5" s="1"/>
  <c r="L10" i="4"/>
  <c r="J10" i="4"/>
  <c r="H10" i="4"/>
  <c r="G7" i="7" l="1"/>
  <c r="H7" i="7" s="1"/>
  <c r="J12" i="5"/>
  <c r="K5" i="5"/>
  <c r="E10" i="6"/>
  <c r="H10" i="6" s="1"/>
  <c r="C12" i="3" l="1"/>
  <c r="K15" i="5"/>
  <c r="K16" i="5"/>
  <c r="K17" i="5"/>
  <c r="C10" i="3"/>
  <c r="G8" i="7"/>
  <c r="G9" i="7" s="1"/>
  <c r="F10" i="1"/>
  <c r="F11" i="1"/>
  <c r="F5" i="1"/>
  <c r="F12" i="1"/>
  <c r="F6" i="1"/>
  <c r="F7" i="1"/>
  <c r="F13" i="1"/>
  <c r="F14" i="1"/>
  <c r="F15" i="1"/>
  <c r="F16" i="1"/>
  <c r="F4" i="1"/>
  <c r="C24" i="1" l="1"/>
  <c r="F24" i="1" s="1"/>
  <c r="H8" i="7"/>
  <c r="H9" i="7"/>
  <c r="G10" i="7"/>
  <c r="H10" i="7" s="1"/>
  <c r="F5" i="2"/>
  <c r="H11" i="7" l="1"/>
  <c r="H12" i="7" s="1"/>
  <c r="H13" i="7" s="1"/>
  <c r="C23" i="1"/>
  <c r="F23" i="1" s="1"/>
  <c r="F25" i="1" s="1"/>
  <c r="D5" i="3" s="1"/>
  <c r="F7" i="2"/>
  <c r="D4" i="3"/>
  <c r="D27" i="3" l="1"/>
  <c r="H15" i="7"/>
  <c r="C9" i="3"/>
  <c r="D14" i="3" s="1"/>
  <c r="E27" i="3" s="1"/>
  <c r="H16" i="7"/>
  <c r="H17" i="7"/>
  <c r="F26" i="1"/>
  <c r="F28" i="1"/>
  <c r="F27" i="1"/>
  <c r="D6" i="3"/>
  <c r="F27" i="3" l="1"/>
  <c r="E30" i="3"/>
  <c r="E29" i="3"/>
  <c r="E28" i="3"/>
  <c r="D30" i="3"/>
  <c r="D29" i="3"/>
  <c r="D28" i="3"/>
  <c r="D15" i="3"/>
  <c r="D21" i="3"/>
  <c r="D20" i="3"/>
  <c r="D22" i="3"/>
  <c r="F28" i="3" l="1"/>
  <c r="F30" i="3"/>
  <c r="F29" i="3"/>
</calcChain>
</file>

<file path=xl/sharedStrings.xml><?xml version="1.0" encoding="utf-8"?>
<sst xmlns="http://schemas.openxmlformats.org/spreadsheetml/2006/main" count="385" uniqueCount="287">
  <si>
    <t>plantmateriaal</t>
  </si>
  <si>
    <t>potten/containers</t>
  </si>
  <si>
    <t>steunmateriaal</t>
  </si>
  <si>
    <t>Rente omlopend vermogen</t>
  </si>
  <si>
    <t>Afschrijving</t>
  </si>
  <si>
    <t>Rente</t>
  </si>
  <si>
    <t>Onderhoud</t>
  </si>
  <si>
    <t>Type</t>
  </si>
  <si>
    <t>%</t>
  </si>
  <si>
    <t>€</t>
  </si>
  <si>
    <t>Machines</t>
  </si>
  <si>
    <t>oppervlakte</t>
  </si>
  <si>
    <t>waarde/m2</t>
  </si>
  <si>
    <t>1% rente</t>
  </si>
  <si>
    <t>perceel b</t>
  </si>
  <si>
    <t>perceel a</t>
  </si>
  <si>
    <t>Brutoloon</t>
  </si>
  <si>
    <t>Medewerker</t>
  </si>
  <si>
    <t>Totaal</t>
  </si>
  <si>
    <t>Administratie en boekhouding</t>
  </si>
  <si>
    <t>Contributie/abonnementen</t>
  </si>
  <si>
    <t>Diverse verzekeringen</t>
  </si>
  <si>
    <t>Grondonderzoek</t>
  </si>
  <si>
    <t>Loonwerk</t>
  </si>
  <si>
    <t>Provisie/bankkosten</t>
  </si>
  <si>
    <t>Teeltbegeleiding</t>
  </si>
  <si>
    <t>Gemiddele verkoopprijs</t>
  </si>
  <si>
    <t>oppotten</t>
  </si>
  <si>
    <t>uitzetten</t>
  </si>
  <si>
    <t>oogsten</t>
  </si>
  <si>
    <t xml:space="preserve">verpakken </t>
  </si>
  <si>
    <t>oppotmachine</t>
  </si>
  <si>
    <t>Wie/wat/waar/waarom/ hoe</t>
  </si>
  <si>
    <t xml:space="preserve">3e jaars studenten Teelt &amp; Technologie maken een kostprijs/ saldoberekening voor het bedrijf waar ze gaan afstuderen. </t>
  </si>
  <si>
    <t xml:space="preserve">Dit kan zowel voor boomteelt als in de glastuinbouw. </t>
  </si>
  <si>
    <t xml:space="preserve">Jullie gebruiken hiervoor dit Excel-bestand en moeten allerlei gegevens bji jullie bedrijf verzamelen. </t>
  </si>
  <si>
    <t xml:space="preserve">Deze kostprijsberekening is onderdeel van de eindproeve waar je uiteindelijk op afstudeert. </t>
  </si>
  <si>
    <t>Hoe</t>
  </si>
  <si>
    <t xml:space="preserve">Hierna volgen allemaal tabbladen. Een tabblad moet je zien als een velletje ruitjespapier, dat ook nog voor jou alles uitrekent. </t>
  </si>
  <si>
    <t xml:space="preserve">Door voor elk tabblad gegevens op te halen van jouw bedrijf (of op te zoeken in de KWIN-gids), verzamel je een hoop kosten/ opbrengsten. </t>
  </si>
  <si>
    <t xml:space="preserve">Als je de tabbladen op de juiste manier doorloopt, dan weet je uiteindelijk wat alles heeft gekost en wat alles opbrengt. </t>
  </si>
  <si>
    <t>Wanneer wel en niet te gebruiken</t>
  </si>
  <si>
    <t>enkele teelten of productgroepen</t>
  </si>
  <si>
    <t>heel veel verschillende producten</t>
  </si>
  <si>
    <t xml:space="preserve">Dit is bijna onmogelijk om te doen. Werk dan met verschillende productgroepen, of bereken de kostprijs voor 'de gemiddelde' plant. </t>
  </si>
  <si>
    <t>Laat dus zien dat je weet hoe het moet!</t>
  </si>
  <si>
    <t>(Scrol naar beneden voor meer informatie)</t>
  </si>
  <si>
    <t xml:space="preserve">Gemiddeld moeilijk. Dit gebruik je bijvoorbeeld bij 3 soorten tomaten. </t>
  </si>
  <si>
    <t xml:space="preserve">Of 6.000 soorten vaste planten die je over 3 productgroepen kunt verdelen. </t>
  </si>
  <si>
    <t xml:space="preserve">Dit is de makkelijkste variant. Bijvoorbeeld een bedrijf dat alleen maar Elstar-appels produceert.  staan. </t>
  </si>
  <si>
    <t>Of een bedrijf met 6.000 soorten planten die allemaal in P9 staan. Of een bedrijf met alleen maar paprika's.</t>
  </si>
  <si>
    <t>1. Uitleg</t>
  </si>
  <si>
    <t>Theorie kostprijsberekening</t>
  </si>
  <si>
    <t>2. Opdrachten</t>
  </si>
  <si>
    <t xml:space="preserve">1. Lees tabblad 1, de algemene uitleg over de opdracht. </t>
  </si>
  <si>
    <t xml:space="preserve">2. Lees tabblad 1, de theorie over de kostprijsberekening. </t>
  </si>
  <si>
    <t>3. Doe jij boomteelt of glasteelt?</t>
  </si>
  <si>
    <t>boom</t>
  </si>
  <si>
    <t>glas</t>
  </si>
  <si>
    <t>gelezen</t>
  </si>
  <si>
    <t>nog niet gelezen</t>
  </si>
  <si>
    <t>4. Wat produceert jouw bedrijf?</t>
  </si>
  <si>
    <t>5. Valt deze teelt onder:</t>
  </si>
  <si>
    <t xml:space="preserve">    a. 1 teelt of 1 productgroep</t>
  </si>
  <si>
    <t>nee</t>
  </si>
  <si>
    <t xml:space="preserve">ja, want </t>
  </si>
  <si>
    <t xml:space="preserve">    b. enkele teelten (maximaal 3-5) productgroepen</t>
  </si>
  <si>
    <t xml:space="preserve">    c. veel teelten (minstens 3) of productgroepen</t>
  </si>
  <si>
    <t>Eenheid</t>
  </si>
  <si>
    <t>Aantal</t>
  </si>
  <si>
    <t>Product(groep)</t>
  </si>
  <si>
    <t>Prijs/eenh</t>
  </si>
  <si>
    <t>heffingen + veilingkosten</t>
  </si>
  <si>
    <t>Niet toewijsbare teelthandelingen</t>
  </si>
  <si>
    <t>aantal</t>
  </si>
  <si>
    <t>etc. zet neer in logische volgorde!</t>
  </si>
  <si>
    <t>ha/st/rij</t>
  </si>
  <si>
    <t>totaal uren</t>
  </si>
  <si>
    <t>Totaal toewijsbare handelingen</t>
  </si>
  <si>
    <r>
      <t xml:space="preserve">Bepaal de teelthandelingen die nodig zijn voor dit gewas voor </t>
    </r>
    <r>
      <rPr>
        <b/>
        <sz val="11"/>
        <color theme="1"/>
        <rFont val="Arial"/>
        <family val="2"/>
      </rPr>
      <t>1 hectare</t>
    </r>
    <r>
      <rPr>
        <sz val="11"/>
        <color theme="1"/>
        <rFont val="Arial"/>
        <family val="2"/>
      </rPr>
      <t xml:space="preserve">, dus </t>
    </r>
    <r>
      <rPr>
        <b/>
        <sz val="11"/>
        <color theme="1"/>
        <rFont val="Arial"/>
        <family val="2"/>
      </rPr>
      <t>PER</t>
    </r>
    <r>
      <rPr>
        <sz val="11"/>
        <color theme="1"/>
        <rFont val="Arial"/>
        <family val="2"/>
      </rPr>
      <t xml:space="preserve"> hectare</t>
    </r>
  </si>
  <si>
    <r>
      <t xml:space="preserve">Toewijsbare teelthandelingen </t>
    </r>
    <r>
      <rPr>
        <b/>
        <sz val="11"/>
        <color theme="1"/>
        <rFont val="Arial"/>
        <family val="2"/>
      </rPr>
      <t>p/ha</t>
    </r>
  </si>
  <si>
    <t>Nodig:</t>
  </si>
  <si>
    <t>€ / uur</t>
  </si>
  <si>
    <t>tot. dir. arb.kn</t>
  </si>
  <si>
    <t>uren/keer</t>
  </si>
  <si>
    <t>Hoeveel uur/ week is voltijds werken volgens CAO</t>
  </si>
  <si>
    <t>Hoeveel vakantieweken per jaar volgens CAO</t>
  </si>
  <si>
    <t>Hoeveel uren werken per jaar per fte</t>
  </si>
  <si>
    <t>Aantal uren nodig voor deze teelt</t>
  </si>
  <si>
    <t>Aantal fte nodig voor deze teelt</t>
  </si>
  <si>
    <t>Gemiddelde loonkosten per uur</t>
  </si>
  <si>
    <t>Gemiddeld brutoloon per uur</t>
  </si>
  <si>
    <t>uren/jr</t>
  </si>
  <si>
    <t>werkg.last.</t>
  </si>
  <si>
    <t>Totalen</t>
  </si>
  <si>
    <t>Perceel</t>
  </si>
  <si>
    <t>Kas 1</t>
  </si>
  <si>
    <t>Kas 2</t>
  </si>
  <si>
    <t>Kas 3</t>
  </si>
  <si>
    <t>jaar</t>
  </si>
  <si>
    <t>percentage</t>
  </si>
  <si>
    <t>prijs/m2</t>
  </si>
  <si>
    <t>Nieuw</t>
  </si>
  <si>
    <t>Opper-</t>
  </si>
  <si>
    <t>vlakte</t>
  </si>
  <si>
    <t>Venlo</t>
  </si>
  <si>
    <t>Loods 1</t>
  </si>
  <si>
    <t>Loods 2</t>
  </si>
  <si>
    <t>* kiezen voor kwin gids of niet</t>
  </si>
  <si>
    <t>* op grond wettelijk verplichte rente, of marktconform</t>
  </si>
  <si>
    <t>Er is 1 teelt op het bedrijf</t>
  </si>
  <si>
    <t>*Denk aan uitval tijdens teelt</t>
  </si>
  <si>
    <t xml:space="preserve"> </t>
  </si>
  <si>
    <t xml:space="preserve">Dit tabblad heet 'toegerekende kosten, maar andere woorden voor hetzelfde zijn directe kosten, variabele kosten, inkoopwaarde. </t>
  </si>
  <si>
    <t>eenheid</t>
  </si>
  <si>
    <t>Uitzendkrachten</t>
  </si>
  <si>
    <t>Scholieren</t>
  </si>
  <si>
    <t xml:space="preserve">In de glastuinbouw wordt in de CAO gerekend met een 38 urige werkweek. </t>
  </si>
  <si>
    <t>Informatie:</t>
  </si>
  <si>
    <t xml:space="preserve">Uitzendkrachten: Bedrag onder uurloon is bruto voor werknemer, bedrag onder brutoloon is inclusief kosten uitzendbureau, daarom ook geen werkgeverslasten. </t>
  </si>
  <si>
    <t>Informatie</t>
  </si>
  <si>
    <t>Aanschaf</t>
  </si>
  <si>
    <t>waarde</t>
  </si>
  <si>
    <t>per machine</t>
  </si>
  <si>
    <t>per jaar</t>
  </si>
  <si>
    <t xml:space="preserve">Naam van de kas, loods </t>
  </si>
  <si>
    <t>of containerveld</t>
  </si>
  <si>
    <t>Voeg gerust extra rijen toe, maar doe dit wel BOVEN machine nummer 7 (ivm de automatische optelling)</t>
  </si>
  <si>
    <t>ALGEMENE KOSTEN</t>
  </si>
  <si>
    <t>Communicatie (tel/internet)</t>
  </si>
  <si>
    <t>Verkoopkosten</t>
  </si>
  <si>
    <t xml:space="preserve">Heffingen overheid </t>
  </si>
  <si>
    <t>Communicatie: welke kosten nodig om te kunnen communiceren? Denk aan telefonie, internet, website</t>
  </si>
  <si>
    <t xml:space="preserve">Administratiekosten: niet alleen de boekhouder, maar ook abonnement voor programma's </t>
  </si>
  <si>
    <t>SALDO BEREKENING</t>
  </si>
  <si>
    <t>Omzet</t>
  </si>
  <si>
    <t>Bruto resultaat</t>
  </si>
  <si>
    <t>Indirecte kosten</t>
  </si>
  <si>
    <t>Bedrijfsresultaat</t>
  </si>
  <si>
    <t>+</t>
  </si>
  <si>
    <t>-</t>
  </si>
  <si>
    <t>Saldo per</t>
  </si>
  <si>
    <t>Per product</t>
  </si>
  <si>
    <t xml:space="preserve">Deze saldoberekening haalt uit alle voorgaande tabbladen de gegevens op. </t>
  </si>
  <si>
    <t xml:space="preserve">Hier hoef jij dus niets in te vulen. Je kunt er wel alles aflezen. </t>
  </si>
  <si>
    <t>Electra uitzoeken in kwin gids*</t>
  </si>
  <si>
    <t>Toeger. kosten</t>
  </si>
  <si>
    <t>Omzet (A)</t>
  </si>
  <si>
    <t>Gemiddeld per product</t>
  </si>
  <si>
    <t>Gemiddeld per m2 kas</t>
  </si>
  <si>
    <t>Gemiddeld per m2 grond</t>
  </si>
  <si>
    <t>(C)</t>
  </si>
  <si>
    <t>Arbeid (C)</t>
  </si>
  <si>
    <t>Totaal (A)</t>
  </si>
  <si>
    <t>Gemiddelde loonkn mdw+uitzend+jeugd</t>
  </si>
  <si>
    <t>Gebouwen per product</t>
  </si>
  <si>
    <t>(D)</t>
  </si>
  <si>
    <t>Grond (D)</t>
  </si>
  <si>
    <t>Machines (F)</t>
  </si>
  <si>
    <t>Gebouwen (E)</t>
  </si>
  <si>
    <t>gemiddeld per m2 kas</t>
  </si>
  <si>
    <t>gemiddeld per m2 grond</t>
  </si>
  <si>
    <t>(E)</t>
  </si>
  <si>
    <t>gemiddeld per product</t>
  </si>
  <si>
    <t>nvt</t>
  </si>
  <si>
    <t>(F)</t>
  </si>
  <si>
    <t>Totaal (G)</t>
  </si>
  <si>
    <t>Algemene kosten (G)</t>
  </si>
  <si>
    <t>Gemiddeld gebouwen per m2 kas</t>
  </si>
  <si>
    <t>Gemiddeld gebouwen per m2 grond</t>
  </si>
  <si>
    <t>Per m2 glas</t>
  </si>
  <si>
    <t>Per m2 grond</t>
  </si>
  <si>
    <t>Saldo/eenheid</t>
  </si>
  <si>
    <t xml:space="preserve">Hier mogen ook de gegevens uit de lessen van meneer Nienhuis ingevuld worden. </t>
  </si>
  <si>
    <t>st/kg/m2</t>
  </si>
  <si>
    <t>Vooraf bepalen of het per stuk gaat, per m2 of per kg of per ha. In de les doen!</t>
  </si>
  <si>
    <t>Nienhuis</t>
  </si>
  <si>
    <t>Vd Pasch</t>
  </si>
  <si>
    <t>DIRECTE/ TOEGEREKENDE KOSTEN (grond/hulpstoffen/overig)</t>
  </si>
  <si>
    <t>Sub</t>
  </si>
  <si>
    <t>Gas WKK (m3)</t>
  </si>
  <si>
    <t>Gas Ketel (m3)</t>
  </si>
  <si>
    <t>Elektriciteit inkoop</t>
  </si>
  <si>
    <t>Elektriciteit verkoop</t>
  </si>
  <si>
    <t>Inkoop CO2</t>
  </si>
  <si>
    <t>Gewasbescherming</t>
  </si>
  <si>
    <t>Bemesting</t>
  </si>
  <si>
    <t>Overige materialen</t>
  </si>
  <si>
    <t>Afvoer teeltafval (kg)</t>
  </si>
  <si>
    <t>Vrachtkkosten</t>
  </si>
  <si>
    <t>Fusthuur</t>
  </si>
  <si>
    <t>Verpakking</t>
  </si>
  <si>
    <t>Afzetkosten</t>
  </si>
  <si>
    <t>Veilingkosten</t>
  </si>
  <si>
    <t>Directe kosten Teelt (B)</t>
  </si>
  <si>
    <t xml:space="preserve">Saldo is de omzet min de directe (toegerekende) teeltkosten. </t>
  </si>
  <si>
    <t>Saldo is dus vóórdat je de vaste kosten rekent zoals arbeid en huisvesting</t>
  </si>
  <si>
    <t>Product</t>
  </si>
  <si>
    <t>Kwingids boom: neem de prijzen van 2006 en dan alles x 1,4 doen voor schatting huidige prijzen. (Geldt tm schooljaar 23/24)</t>
  </si>
  <si>
    <t xml:space="preserve">Of je moet werken met kg/ton/stuks/ha/m2/net.week.m2: Dit staat o.a. in de KWIN-gids. </t>
  </si>
  <si>
    <t>(potplanten is m2, vruchtgroente/snijbloemen zijn per kg of stuks, boomkwekerij is per stuk of per m2)</t>
  </si>
  <si>
    <t xml:space="preserve">Alleen de ruimtes benoemen die (gedeeltelijk) voor deze teelt worden gebruikt. </t>
  </si>
  <si>
    <t>En dan ook alleen het percentage van het totale bedrag wat deze ruimte kost, wat nodig is voor jouw teelt.</t>
  </si>
  <si>
    <t>Op grond wordt niet afgeschreven, dus alleen rentekosten</t>
  </si>
  <si>
    <t>Kwamkwammers</t>
  </si>
  <si>
    <t>Hoeveel weken per jaar werken volgens CAO</t>
  </si>
  <si>
    <t>aantal FTE</t>
  </si>
  <si>
    <t>1 teelt</t>
  </si>
  <si>
    <t>per maand</t>
  </si>
  <si>
    <t>Totale loonkosten</t>
  </si>
  <si>
    <t>1 teelt/jr</t>
  </si>
  <si>
    <t>per uur</t>
  </si>
  <si>
    <t>per 1 teelt</t>
  </si>
  <si>
    <t>Manager/kantoor</t>
  </si>
  <si>
    <t>totaal uren per 1 teelt</t>
  </si>
  <si>
    <t>Uren p.p.p.j.</t>
  </si>
  <si>
    <t>Informatie (per 1 januari 2023)</t>
  </si>
  <si>
    <t>Tabel minimumloon</t>
  </si>
  <si>
    <t>n/mnd</t>
  </si>
  <si>
    <t>n/uur</t>
  </si>
  <si>
    <t>p/mnd</t>
  </si>
  <si>
    <t>p/jr</t>
  </si>
  <si>
    <t>p/uur</t>
  </si>
  <si>
    <t>p/jaar</t>
  </si>
  <si>
    <t>Uitzendkracht 21 jr of ouder</t>
  </si>
  <si>
    <t>Leef-</t>
  </si>
  <si>
    <t>tijd</t>
  </si>
  <si>
    <t>Bruto</t>
  </si>
  <si>
    <t>p/dag</t>
  </si>
  <si>
    <t>p/u</t>
  </si>
  <si>
    <t>Netto</t>
  </si>
  <si>
    <t xml:space="preserve">Wat kost een uur arbeid gemiddeld voor deze teelt van </t>
  </si>
  <si>
    <t>Zie KWIN</t>
  </si>
  <si>
    <t>ton</t>
  </si>
  <si>
    <t>Alle bedragen zijn altijd exclusief btw, omdat het over een bedrijf gaat en niet over consumentenprijzen.</t>
  </si>
  <si>
    <t>BTW op (onbewerkte) groente, fruit, planten en bomen is 9%</t>
  </si>
  <si>
    <t>Onbewerkt betekent: geen appelpuree of planten geplaatst in een sierpot met lichtjes erin.</t>
  </si>
  <si>
    <t>6. Reken je per eenheid met stuks/ kg/ ton/ ha/ m2/ net.week.m2*</t>
  </si>
  <si>
    <t>7. Op hoeveel m2 wordt dit product geteeld?</t>
  </si>
  <si>
    <t>Werkgeverskosten</t>
  </si>
  <si>
    <t>Let op: reken dit alleen uit voor het percentage wat deze teelt in beslag neemt!</t>
  </si>
  <si>
    <t>8. Hoeveel procent van de omzet / ruimte is voor deze teelt</t>
  </si>
  <si>
    <t>overlegd</t>
  </si>
  <si>
    <t>nog niet overlegd</t>
  </si>
  <si>
    <t>9. Overleg vraag 5, 6, 7 en 8 na het invullen met je docent</t>
  </si>
  <si>
    <t xml:space="preserve">Let op, dat je alleen DIE machines meetelt die voor deze teelt ook daadwerkelijk gebruikt worden. </t>
  </si>
  <si>
    <t>EN, neem alleen het percentage van deze machine dat ook werkelijk voor deze teelt gebruikt wordt.</t>
  </si>
  <si>
    <t xml:space="preserve">OMZET </t>
  </si>
  <si>
    <t>Boven deze regel kunje extra regels invoegen. Niet op deze plaats</t>
  </si>
  <si>
    <t>Totaal Toegerekende Teeltkosten (B)</t>
  </si>
  <si>
    <t>pct teelt</t>
  </si>
  <si>
    <t>bedrag teelt</t>
  </si>
  <si>
    <t>overig gezamenlijk gebruik</t>
  </si>
  <si>
    <t>tot.waarde</t>
  </si>
  <si>
    <t>Op 18 januari 2023 heb ik je een email gestuurd met de laatst beschikbare KWIN-gids (19-20)</t>
  </si>
  <si>
    <t>kostprijs = alle kosten = directe kosten (alleen als je teelt hebt) + indirecte kosten (vaste kosten)</t>
  </si>
  <si>
    <t xml:space="preserve">kostprijs is uit te rekenen door de kosten per stuk uit te rekenen. </t>
  </si>
  <si>
    <t xml:space="preserve">Kostprijs is ook uit te rekenen door de totale kosten te delen door het aantal producten. </t>
  </si>
  <si>
    <t>Neem dan wel de directe kosten apart van de indirecte kosten.</t>
  </si>
  <si>
    <t>De totale kosten haal je uit de exploitatierekening: directe kosten staan direct onder de omzet.</t>
  </si>
  <si>
    <t>De indirecte kosten staan direct onder het bedrijfsresultaat.</t>
  </si>
  <si>
    <t>TOEGEREKENDE KOSTEN (arbeid) van de teelt</t>
  </si>
  <si>
    <t>11. Het saldo (resultaat na aftrek directe kosten) komt op het laatste tabblad te staan, evenals de kostprijs.</t>
  </si>
  <si>
    <t>Let op: alle vakjes en alle tabbladen zijn aan elkaar gelinkt. Vul dus alleen iets in bij de WITTE VAKKEN !!! (anders werkt het niet meer).</t>
  </si>
  <si>
    <t>10. Vul de tabbladen in die hierna volgen. Doe dit in deze volgorde: 3,A,D,E,F,G,B,C</t>
  </si>
  <si>
    <t>Bijvoorbeeld: je zet ergens de kosten neer voor arbeid, en die worden automatisch meegenomen naar de saldoberekening op het laatste tabblad.</t>
  </si>
  <si>
    <t>Slim om te doen: per tabblad aangeven wat je hebt gedaan en wat je nog wil doen.</t>
  </si>
  <si>
    <t>Aantekeningen:</t>
  </si>
  <si>
    <t>Nog doen:</t>
  </si>
  <si>
    <t>Al gedaan:</t>
  </si>
  <si>
    <t xml:space="preserve">Als dit tabblad helemaal ingevuld is, kun je de gegevens knippen (Shift+Windows+'s') en plakken in je verslag. </t>
  </si>
  <si>
    <t>Beoordeling: Deze kostprijsberekening krijgt een cijfer bij mevrouw Van der Pasch. Het verslag krijgt een cijfer bij meneer Nienhuis</t>
  </si>
  <si>
    <r>
      <t xml:space="preserve">DOWNLOAD  </t>
    </r>
    <r>
      <rPr>
        <b/>
        <sz val="11"/>
        <color theme="1"/>
        <rFont val="Arial Black"/>
        <family val="2"/>
      </rPr>
      <t>EERST</t>
    </r>
    <r>
      <rPr>
        <b/>
        <sz val="11"/>
        <color theme="1"/>
        <rFont val="Arial"/>
        <family val="2"/>
      </rPr>
      <t xml:space="preserve">  DIT BESTAND EN SLA HET OP MET DE NAAM 'KOSTPRIJSBEREKENING - JOUW NAAM - TEELT - BEDRIJFSNAAM'</t>
    </r>
  </si>
  <si>
    <t>In dit tabblad reken je de totale loonkosten per uur uit. Deze informatie wordt gebruikt bij tabblad C Directe kosten arbeid</t>
  </si>
  <si>
    <t>Voor deze teelt:</t>
  </si>
  <si>
    <t>Pct</t>
  </si>
  <si>
    <t>Bedrag</t>
  </si>
  <si>
    <t>Duurzame productiemiddelen (DPM) a.GROND</t>
  </si>
  <si>
    <t>Duurzame productiemiddelen (DPM) b.GEBOUWEN</t>
  </si>
  <si>
    <t>Duurzame productiemiddelen (DPM) c.MACHINES</t>
  </si>
  <si>
    <t>Alle kosten</t>
  </si>
  <si>
    <t>pct product</t>
  </si>
  <si>
    <t>Totale kosten</t>
  </si>
  <si>
    <t>Kostprijs: alle kosten / aantal producten</t>
  </si>
  <si>
    <t>Kostprijs</t>
  </si>
  <si>
    <t>Dir.kn</t>
  </si>
  <si>
    <t>Indir.kn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</si>
</sst>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€&quot;\ #,##0;&quot;€&quot;\ \-#,##0"/>
    <numFmt numFmtId="7" formatCode="&quot;€&quot;\ #,##0.00;&quot;€&quot;\ \-#,##0.00"/>
    <numFmt numFmtId="8" formatCode="&quot;€&quot;\ #,##0.00;[Red]&quot;€&quot;\ \-#,##0.00"/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.00"/>
    <numFmt numFmtId="165" formatCode="&quot;€&quot;\ #,##0"/>
    <numFmt numFmtId="166" formatCode="#,##0.0"/>
    <numFmt numFmtId="167" formatCode="0.0"/>
    <numFmt numFmtId="168" formatCode="_ * #,##0_ ;_ * \-#,##0_ ;_ * &quot;-&quot;??_ ;_ @_ "/>
    <numFmt numFmtId="169" formatCode="_ &quot;€&quot;\ * #,##0.00_ ;_ &quot;€&quot;\ * \-#,##0.00_ ;_ &quot;€&quot;\ * &quot;-&quot;_ ;_ @_ "/>
    <numFmt numFmtId="170" formatCode="_ &quot;€&quot;\ * #,##0_ ;_ &quot;€&quot;\ * \-#,##0_ ;_ &quot;€&quot;\ * &quot;-&quot;??_ ;_ @_ "/>
  </numFmts>
  <fonts count="12" x14ac:knownFonts="1"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trike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 Black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3FD6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7EEE5"/>
        <bgColor indexed="64"/>
      </patternFill>
    </fill>
    <fill>
      <patternFill patternType="solid">
        <fgColor rgb="FFC3967F"/>
        <bgColor indexed="64"/>
      </patternFill>
    </fill>
    <fill>
      <patternFill patternType="solid">
        <fgColor rgb="FFEBD9D1"/>
        <bgColor indexed="64"/>
      </patternFill>
    </fill>
    <fill>
      <patternFill patternType="solid">
        <fgColor rgb="FFF6EE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FFF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indexed="64"/>
      </left>
      <right style="thin">
        <color indexed="64"/>
      </right>
      <top style="hair">
        <color theme="0" tint="-0.1499679555650502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82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7" fillId="5" borderId="0" xfId="0" applyFont="1" applyFill="1"/>
    <xf numFmtId="0" fontId="0" fillId="5" borderId="0" xfId="0" applyFill="1"/>
    <xf numFmtId="0" fontId="5" fillId="3" borderId="0" xfId="0" applyFont="1" applyFill="1"/>
    <xf numFmtId="0" fontId="0" fillId="0" borderId="3" xfId="0" applyBorder="1"/>
    <xf numFmtId="0" fontId="0" fillId="0" borderId="5" xfId="0" applyBorder="1"/>
    <xf numFmtId="0" fontId="0" fillId="0" borderId="7" xfId="0" applyBorder="1"/>
    <xf numFmtId="3" fontId="0" fillId="0" borderId="3" xfId="0" applyNumberFormat="1" applyBorder="1"/>
    <xf numFmtId="3" fontId="0" fillId="0" borderId="5" xfId="0" applyNumberFormat="1" applyBorder="1"/>
    <xf numFmtId="44" fontId="0" fillId="0" borderId="6" xfId="0" applyNumberFormat="1" applyBorder="1"/>
    <xf numFmtId="3" fontId="0" fillId="0" borderId="7" xfId="0" applyNumberFormat="1" applyBorder="1"/>
    <xf numFmtId="3" fontId="0" fillId="0" borderId="11" xfId="0" applyNumberFormat="1" applyBorder="1" applyAlignment="1">
      <alignment horizontal="left"/>
    </xf>
    <xf numFmtId="0" fontId="0" fillId="0" borderId="13" xfId="0" applyBorder="1"/>
    <xf numFmtId="3" fontId="0" fillId="0" borderId="13" xfId="0" applyNumberFormat="1" applyBorder="1"/>
    <xf numFmtId="3" fontId="0" fillId="0" borderId="12" xfId="0" applyNumberFormat="1" applyBorder="1"/>
    <xf numFmtId="0" fontId="0" fillId="6" borderId="0" xfId="0" applyFill="1"/>
    <xf numFmtId="0" fontId="0" fillId="6" borderId="3" xfId="0" applyFill="1" applyBorder="1"/>
    <xf numFmtId="0" fontId="0" fillId="6" borderId="14" xfId="0" applyFill="1" applyBorder="1"/>
    <xf numFmtId="42" fontId="0" fillId="6" borderId="4" xfId="0" applyNumberFormat="1" applyFill="1" applyBorder="1"/>
    <xf numFmtId="0" fontId="0" fillId="6" borderId="5" xfId="0" applyFill="1" applyBorder="1"/>
    <xf numFmtId="42" fontId="0" fillId="6" borderId="6" xfId="0" applyNumberFormat="1" applyFill="1" applyBorder="1"/>
    <xf numFmtId="0" fontId="0" fillId="6" borderId="7" xfId="0" applyFill="1" applyBorder="1"/>
    <xf numFmtId="42" fontId="0" fillId="6" borderId="1" xfId="0" applyNumberFormat="1" applyFill="1" applyBorder="1"/>
    <xf numFmtId="42" fontId="0" fillId="6" borderId="8" xfId="0" applyNumberFormat="1" applyFill="1" applyBorder="1"/>
    <xf numFmtId="3" fontId="0" fillId="6" borderId="7" xfId="0" applyNumberFormat="1" applyFill="1" applyBorder="1"/>
    <xf numFmtId="0" fontId="0" fillId="6" borderId="8" xfId="0" applyFill="1" applyBorder="1"/>
    <xf numFmtId="0" fontId="0" fillId="6" borderId="14" xfId="0" applyFill="1" applyBorder="1" applyAlignment="1">
      <alignment horizontal="right"/>
    </xf>
    <xf numFmtId="0" fontId="0" fillId="6" borderId="12" xfId="0" applyFill="1" applyBorder="1"/>
    <xf numFmtId="0" fontId="0" fillId="0" borderId="11" xfId="0" applyBorder="1"/>
    <xf numFmtId="0" fontId="0" fillId="0" borderId="12" xfId="0" applyBorder="1"/>
    <xf numFmtId="0" fontId="6" fillId="6" borderId="0" xfId="0" applyFont="1" applyFill="1"/>
    <xf numFmtId="42" fontId="0" fillId="6" borderId="11" xfId="0" applyNumberFormat="1" applyFill="1" applyBorder="1"/>
    <xf numFmtId="42" fontId="0" fillId="6" borderId="13" xfId="0" applyNumberFormat="1" applyFill="1" applyBorder="1"/>
    <xf numFmtId="42" fontId="0" fillId="6" borderId="12" xfId="0" applyNumberFormat="1" applyFill="1" applyBorder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left"/>
    </xf>
    <xf numFmtId="0" fontId="0" fillId="6" borderId="4" xfId="0" applyFill="1" applyBorder="1" applyAlignment="1">
      <alignment horizontal="left"/>
    </xf>
    <xf numFmtId="0" fontId="0" fillId="6" borderId="5" xfId="0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167" fontId="0" fillId="6" borderId="13" xfId="0" applyNumberFormat="1" applyFill="1" applyBorder="1" applyAlignment="1">
      <alignment horizontal="left"/>
    </xf>
    <xf numFmtId="167" fontId="0" fillId="6" borderId="12" xfId="0" applyNumberForma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42" fontId="0" fillId="6" borderId="3" xfId="0" applyNumberFormat="1" applyFill="1" applyBorder="1"/>
    <xf numFmtId="42" fontId="0" fillId="6" borderId="5" xfId="0" applyNumberFormat="1" applyFill="1" applyBorder="1"/>
    <xf numFmtId="42" fontId="0" fillId="6" borderId="7" xfId="0" applyNumberFormat="1" applyFill="1" applyBorder="1"/>
    <xf numFmtId="42" fontId="0" fillId="6" borderId="14" xfId="1" applyNumberFormat="1" applyFont="1" applyFill="1" applyBorder="1"/>
    <xf numFmtId="42" fontId="0" fillId="6" borderId="0" xfId="1" applyNumberFormat="1" applyFont="1" applyFill="1" applyBorder="1"/>
    <xf numFmtId="42" fontId="0" fillId="6" borderId="1" xfId="1" applyNumberFormat="1" applyFont="1" applyFill="1" applyBorder="1"/>
    <xf numFmtId="169" fontId="0" fillId="0" borderId="14" xfId="0" applyNumberFormat="1" applyBorder="1"/>
    <xf numFmtId="169" fontId="0" fillId="0" borderId="0" xfId="0" applyNumberFormat="1"/>
    <xf numFmtId="169" fontId="0" fillId="0" borderId="1" xfId="0" applyNumberFormat="1" applyBorder="1"/>
    <xf numFmtId="169" fontId="0" fillId="6" borderId="1" xfId="0" applyNumberFormat="1" applyFill="1" applyBorder="1"/>
    <xf numFmtId="170" fontId="0" fillId="6" borderId="0" xfId="0" applyNumberFormat="1" applyFill="1"/>
    <xf numFmtId="167" fontId="0" fillId="0" borderId="4" xfId="0" applyNumberFormat="1" applyBorder="1"/>
    <xf numFmtId="167" fontId="0" fillId="0" borderId="6" xfId="0" applyNumberFormat="1" applyBorder="1"/>
    <xf numFmtId="167" fontId="0" fillId="0" borderId="8" xfId="0" applyNumberFormat="1" applyBorder="1"/>
    <xf numFmtId="0" fontId="7" fillId="7" borderId="0" xfId="0" applyFont="1" applyFill="1"/>
    <xf numFmtId="0" fontId="0" fillId="7" borderId="0" xfId="0" applyFill="1"/>
    <xf numFmtId="0" fontId="0" fillId="8" borderId="3" xfId="0" applyFill="1" applyBorder="1" applyAlignment="1">
      <alignment horizontal="left"/>
    </xf>
    <xf numFmtId="0" fontId="0" fillId="9" borderId="0" xfId="0" applyFill="1"/>
    <xf numFmtId="0" fontId="0" fillId="9" borderId="0" xfId="0" applyFill="1" applyAlignment="1">
      <alignment horizontal="left"/>
    </xf>
    <xf numFmtId="0" fontId="6" fillId="9" borderId="0" xfId="0" applyFont="1" applyFill="1"/>
    <xf numFmtId="0" fontId="0" fillId="9" borderId="0" xfId="0" applyFill="1" applyAlignment="1">
      <alignment horizontal="right"/>
    </xf>
    <xf numFmtId="0" fontId="0" fillId="9" borderId="3" xfId="0" applyFill="1" applyBorder="1"/>
    <xf numFmtId="0" fontId="0" fillId="9" borderId="5" xfId="0" applyFill="1" applyBorder="1"/>
    <xf numFmtId="3" fontId="0" fillId="9" borderId="5" xfId="0" applyNumberFormat="1" applyFill="1" applyBorder="1"/>
    <xf numFmtId="44" fontId="0" fillId="9" borderId="6" xfId="0" applyNumberFormat="1" applyFill="1" applyBorder="1"/>
    <xf numFmtId="0" fontId="0" fillId="9" borderId="7" xfId="0" applyFill="1" applyBorder="1"/>
    <xf numFmtId="44" fontId="0" fillId="9" borderId="8" xfId="0" applyNumberFormat="1" applyFill="1" applyBorder="1"/>
    <xf numFmtId="3" fontId="0" fillId="9" borderId="0" xfId="0" applyNumberFormat="1" applyFill="1"/>
    <xf numFmtId="44" fontId="0" fillId="9" borderId="0" xfId="0" applyNumberFormat="1" applyFill="1"/>
    <xf numFmtId="0" fontId="0" fillId="9" borderId="0" xfId="0" applyFill="1" applyAlignment="1">
      <alignment horizontal="center"/>
    </xf>
    <xf numFmtId="8" fontId="0" fillId="9" borderId="13" xfId="0" applyNumberFormat="1" applyFill="1" applyBorder="1"/>
    <xf numFmtId="8" fontId="0" fillId="9" borderId="12" xfId="0" applyNumberFormat="1" applyFill="1" applyBorder="1"/>
    <xf numFmtId="0" fontId="0" fillId="8" borderId="9" xfId="0" applyFill="1" applyBorder="1" applyAlignment="1">
      <alignment horizontal="left"/>
    </xf>
    <xf numFmtId="0" fontId="0" fillId="8" borderId="9" xfId="0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10" xfId="0" applyFill="1" applyBorder="1" applyAlignment="1">
      <alignment horizontal="right"/>
    </xf>
    <xf numFmtId="9" fontId="0" fillId="0" borderId="9" xfId="0" applyNumberFormat="1" applyBorder="1"/>
    <xf numFmtId="164" fontId="0" fillId="9" borderId="0" xfId="0" applyNumberFormat="1" applyFill="1"/>
    <xf numFmtId="0" fontId="0" fillId="9" borderId="9" xfId="0" applyFill="1" applyBorder="1"/>
    <xf numFmtId="0" fontId="1" fillId="9" borderId="0" xfId="0" applyFont="1" applyFill="1"/>
    <xf numFmtId="3" fontId="0" fillId="9" borderId="11" xfId="0" applyNumberFormat="1" applyFill="1" applyBorder="1"/>
    <xf numFmtId="169" fontId="0" fillId="9" borderId="11" xfId="0" applyNumberFormat="1" applyFill="1" applyBorder="1"/>
    <xf numFmtId="42" fontId="0" fillId="9" borderId="11" xfId="0" applyNumberFormat="1" applyFill="1" applyBorder="1"/>
    <xf numFmtId="3" fontId="0" fillId="9" borderId="13" xfId="0" applyNumberFormat="1" applyFill="1" applyBorder="1"/>
    <xf numFmtId="169" fontId="0" fillId="9" borderId="13" xfId="0" applyNumberFormat="1" applyFill="1" applyBorder="1"/>
    <xf numFmtId="42" fontId="0" fillId="9" borderId="13" xfId="0" applyNumberFormat="1" applyFill="1" applyBorder="1"/>
    <xf numFmtId="3" fontId="0" fillId="9" borderId="12" xfId="0" applyNumberFormat="1" applyFill="1" applyBorder="1"/>
    <xf numFmtId="169" fontId="0" fillId="9" borderId="12" xfId="0" applyNumberFormat="1" applyFill="1" applyBorder="1"/>
    <xf numFmtId="42" fontId="0" fillId="9" borderId="12" xfId="0" applyNumberFormat="1" applyFill="1" applyBorder="1"/>
    <xf numFmtId="166" fontId="0" fillId="9" borderId="9" xfId="0" applyNumberFormat="1" applyFill="1" applyBorder="1"/>
    <xf numFmtId="166" fontId="0" fillId="9" borderId="2" xfId="0" applyNumberFormat="1" applyFill="1" applyBorder="1"/>
    <xf numFmtId="3" fontId="0" fillId="9" borderId="10" xfId="0" applyNumberFormat="1" applyFill="1" applyBorder="1"/>
    <xf numFmtId="42" fontId="0" fillId="9" borderId="10" xfId="0" applyNumberFormat="1" applyFill="1" applyBorder="1"/>
    <xf numFmtId="9" fontId="0" fillId="9" borderId="9" xfId="0" applyNumberFormat="1" applyFill="1" applyBorder="1"/>
    <xf numFmtId="42" fontId="0" fillId="9" borderId="0" xfId="0" applyNumberFormat="1" applyFill="1"/>
    <xf numFmtId="167" fontId="0" fillId="9" borderId="0" xfId="0" applyNumberFormat="1" applyFill="1"/>
    <xf numFmtId="0" fontId="0" fillId="8" borderId="9" xfId="0" applyFill="1" applyBorder="1"/>
    <xf numFmtId="0" fontId="0" fillId="8" borderId="9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3" fontId="0" fillId="8" borderId="10" xfId="0" applyNumberFormat="1" applyFill="1" applyBorder="1" applyAlignment="1">
      <alignment horizontal="center"/>
    </xf>
    <xf numFmtId="4" fontId="0" fillId="9" borderId="0" xfId="0" applyNumberFormat="1" applyFill="1"/>
    <xf numFmtId="164" fontId="0" fillId="9" borderId="14" xfId="0" applyNumberFormat="1" applyFill="1" applyBorder="1"/>
    <xf numFmtId="0" fontId="0" fillId="9" borderId="14" xfId="0" applyFill="1" applyBorder="1"/>
    <xf numFmtId="164" fontId="0" fillId="9" borderId="1" xfId="0" applyNumberFormat="1" applyFill="1" applyBorder="1"/>
    <xf numFmtId="0" fontId="0" fillId="9" borderId="1" xfId="0" applyFill="1" applyBorder="1"/>
    <xf numFmtId="0" fontId="0" fillId="9" borderId="1" xfId="0" applyFill="1" applyBorder="1" applyAlignment="1">
      <alignment horizontal="right"/>
    </xf>
    <xf numFmtId="43" fontId="0" fillId="9" borderId="14" xfId="0" applyNumberFormat="1" applyFill="1" applyBorder="1"/>
    <xf numFmtId="168" fontId="0" fillId="9" borderId="14" xfId="0" applyNumberFormat="1" applyFill="1" applyBorder="1"/>
    <xf numFmtId="168" fontId="0" fillId="9" borderId="4" xfId="0" applyNumberFormat="1" applyFill="1" applyBorder="1"/>
    <xf numFmtId="43" fontId="0" fillId="9" borderId="0" xfId="0" applyNumberFormat="1" applyFill="1"/>
    <xf numFmtId="168" fontId="0" fillId="9" borderId="6" xfId="0" applyNumberFormat="1" applyFill="1" applyBorder="1"/>
    <xf numFmtId="168" fontId="0" fillId="9" borderId="5" xfId="0" applyNumberFormat="1" applyFill="1" applyBorder="1"/>
    <xf numFmtId="168" fontId="0" fillId="9" borderId="1" xfId="0" applyNumberFormat="1" applyFill="1" applyBorder="1"/>
    <xf numFmtId="168" fontId="0" fillId="9" borderId="8" xfId="0" applyNumberFormat="1" applyFill="1" applyBorder="1"/>
    <xf numFmtId="168" fontId="0" fillId="9" borderId="7" xfId="0" applyNumberFormat="1" applyFill="1" applyBorder="1"/>
    <xf numFmtId="0" fontId="2" fillId="9" borderId="0" xfId="0" applyFont="1" applyFill="1"/>
    <xf numFmtId="0" fontId="2" fillId="8" borderId="3" xfId="0" applyFont="1" applyFill="1" applyBorder="1"/>
    <xf numFmtId="164" fontId="0" fillId="8" borderId="14" xfId="0" applyNumberFormat="1" applyFill="1" applyBorder="1"/>
    <xf numFmtId="0" fontId="0" fillId="8" borderId="14" xfId="0" applyFill="1" applyBorder="1"/>
    <xf numFmtId="4" fontId="0" fillId="8" borderId="14" xfId="0" applyNumberFormat="1" applyFill="1" applyBorder="1"/>
    <xf numFmtId="9" fontId="0" fillId="8" borderId="14" xfId="0" applyNumberFormat="1" applyFill="1" applyBorder="1"/>
    <xf numFmtId="0" fontId="0" fillId="8" borderId="4" xfId="0" applyFill="1" applyBorder="1"/>
    <xf numFmtId="0" fontId="0" fillId="8" borderId="7" xfId="0" applyFill="1" applyBorder="1"/>
    <xf numFmtId="164" fontId="0" fillId="8" borderId="1" xfId="0" applyNumberFormat="1" applyFill="1" applyBorder="1"/>
    <xf numFmtId="4" fontId="0" fillId="8" borderId="1" xfId="0" applyNumberFormat="1" applyFill="1" applyBorder="1" applyAlignment="1">
      <alignment horizontal="right"/>
    </xf>
    <xf numFmtId="0" fontId="0" fillId="8" borderId="1" xfId="0" applyFill="1" applyBorder="1" applyAlignment="1">
      <alignment horizontal="right"/>
    </xf>
    <xf numFmtId="0" fontId="0" fillId="8" borderId="8" xfId="0" applyFill="1" applyBorder="1" applyAlignment="1">
      <alignment horizontal="right"/>
    </xf>
    <xf numFmtId="5" fontId="0" fillId="9" borderId="0" xfId="0" applyNumberFormat="1" applyFill="1"/>
    <xf numFmtId="0" fontId="0" fillId="0" borderId="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168" fontId="0" fillId="6" borderId="7" xfId="1" applyNumberFormat="1" applyFont="1" applyFill="1" applyBorder="1"/>
    <xf numFmtId="0" fontId="0" fillId="6" borderId="8" xfId="0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9" fillId="6" borderId="0" xfId="0" applyFont="1" applyFill="1"/>
    <xf numFmtId="3" fontId="0" fillId="9" borderId="6" xfId="0" applyNumberFormat="1" applyFill="1" applyBorder="1"/>
    <xf numFmtId="3" fontId="0" fillId="9" borderId="8" xfId="0" applyNumberFormat="1" applyFill="1" applyBorder="1"/>
    <xf numFmtId="165" fontId="0" fillId="9" borderId="0" xfId="0" applyNumberFormat="1" applyFill="1"/>
    <xf numFmtId="0" fontId="0" fillId="8" borderId="3" xfId="0" applyFill="1" applyBorder="1"/>
    <xf numFmtId="0" fontId="0" fillId="8" borderId="3" xfId="0" applyFill="1" applyBorder="1" applyAlignment="1">
      <alignment horizontal="right"/>
    </xf>
    <xf numFmtId="0" fontId="0" fillId="8" borderId="14" xfId="0" applyFill="1" applyBorder="1" applyAlignment="1">
      <alignment horizontal="right"/>
    </xf>
    <xf numFmtId="0" fontId="0" fillId="8" borderId="11" xfId="0" applyFill="1" applyBorder="1" applyAlignment="1">
      <alignment horizontal="right"/>
    </xf>
    <xf numFmtId="0" fontId="0" fillId="8" borderId="4" xfId="0" applyFill="1" applyBorder="1" applyAlignment="1">
      <alignment horizontal="right"/>
    </xf>
    <xf numFmtId="0" fontId="0" fillId="8" borderId="10" xfId="0" applyFill="1" applyBorder="1" applyAlignment="1">
      <alignment horizontal="left"/>
    </xf>
    <xf numFmtId="0" fontId="0" fillId="8" borderId="15" xfId="0" applyFill="1" applyBorder="1" applyAlignment="1">
      <alignment horizontal="left"/>
    </xf>
    <xf numFmtId="0" fontId="0" fillId="8" borderId="11" xfId="0" applyFill="1" applyBorder="1"/>
    <xf numFmtId="0" fontId="0" fillId="8" borderId="5" xfId="0" applyFill="1" applyBorder="1"/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8" borderId="0" xfId="0" applyFill="1" applyAlignment="1">
      <alignment horizontal="right"/>
    </xf>
    <xf numFmtId="0" fontId="3" fillId="8" borderId="13" xfId="0" applyFont="1" applyFill="1" applyBorder="1" applyAlignment="1">
      <alignment horizontal="right"/>
    </xf>
    <xf numFmtId="0" fontId="0" fillId="8" borderId="13" xfId="0" applyFill="1" applyBorder="1" applyAlignment="1">
      <alignment horizontal="right"/>
    </xf>
    <xf numFmtId="0" fontId="3" fillId="8" borderId="6" xfId="0" applyFont="1" applyFill="1" applyBorder="1" applyAlignment="1">
      <alignment horizontal="right"/>
    </xf>
    <xf numFmtId="0" fontId="0" fillId="8" borderId="12" xfId="0" applyFill="1" applyBorder="1"/>
    <xf numFmtId="0" fontId="0" fillId="8" borderId="4" xfId="0" applyFill="1" applyBorder="1" applyAlignment="1">
      <alignment horizontal="left"/>
    </xf>
    <xf numFmtId="0" fontId="0" fillId="8" borderId="8" xfId="0" applyFill="1" applyBorder="1"/>
    <xf numFmtId="0" fontId="0" fillId="8" borderId="7" xfId="0" applyFill="1" applyBorder="1" applyAlignment="1">
      <alignment horizontal="right"/>
    </xf>
    <xf numFmtId="10" fontId="0" fillId="9" borderId="0" xfId="0" applyNumberFormat="1" applyFill="1"/>
    <xf numFmtId="0" fontId="4" fillId="9" borderId="0" xfId="0" applyFont="1" applyFill="1"/>
    <xf numFmtId="42" fontId="0" fillId="0" borderId="4" xfId="0" applyNumberFormat="1" applyBorder="1"/>
    <xf numFmtId="42" fontId="0" fillId="0" borderId="6" xfId="0" applyNumberFormat="1" applyBorder="1"/>
    <xf numFmtId="42" fontId="0" fillId="0" borderId="8" xfId="0" applyNumberFormat="1" applyBorder="1"/>
    <xf numFmtId="42" fontId="0" fillId="9" borderId="1" xfId="0" applyNumberFormat="1" applyFill="1" applyBorder="1"/>
    <xf numFmtId="0" fontId="0" fillId="9" borderId="0" xfId="0" quotePrefix="1" applyFill="1"/>
    <xf numFmtId="42" fontId="0" fillId="9" borderId="0" xfId="0" quotePrefix="1" applyNumberFormat="1" applyFill="1"/>
    <xf numFmtId="5" fontId="2" fillId="9" borderId="0" xfId="0" applyNumberFormat="1" applyFont="1" applyFill="1"/>
    <xf numFmtId="42" fontId="2" fillId="9" borderId="0" xfId="0" applyNumberFormat="1" applyFont="1" applyFill="1"/>
    <xf numFmtId="0" fontId="10" fillId="9" borderId="0" xfId="0" applyFont="1" applyFill="1"/>
    <xf numFmtId="169" fontId="0" fillId="9" borderId="4" xfId="0" applyNumberFormat="1" applyFill="1" applyBorder="1"/>
    <xf numFmtId="169" fontId="0" fillId="9" borderId="6" xfId="0" applyNumberFormat="1" applyFill="1" applyBorder="1"/>
    <xf numFmtId="0" fontId="2" fillId="8" borderId="9" xfId="0" applyFont="1" applyFill="1" applyBorder="1"/>
    <xf numFmtId="164" fontId="0" fillId="8" borderId="2" xfId="0" applyNumberFormat="1" applyFill="1" applyBorder="1" applyAlignment="1">
      <alignment horizontal="right"/>
    </xf>
    <xf numFmtId="170" fontId="0" fillId="9" borderId="6" xfId="0" applyNumberFormat="1" applyFill="1" applyBorder="1"/>
    <xf numFmtId="170" fontId="0" fillId="9" borderId="8" xfId="0" applyNumberFormat="1" applyFill="1" applyBorder="1"/>
    <xf numFmtId="170" fontId="2" fillId="9" borderId="0" xfId="0" applyNumberFormat="1" applyFont="1" applyFill="1"/>
    <xf numFmtId="3" fontId="0" fillId="9" borderId="2" xfId="0" applyNumberFormat="1" applyFill="1" applyBorder="1"/>
    <xf numFmtId="3" fontId="0" fillId="9" borderId="2" xfId="0" applyNumberFormat="1" applyFill="1" applyBorder="1" applyAlignment="1">
      <alignment horizontal="left"/>
    </xf>
    <xf numFmtId="0" fontId="0" fillId="9" borderId="0" xfId="0" quotePrefix="1" applyFill="1" applyAlignment="1">
      <alignment horizontal="right"/>
    </xf>
    <xf numFmtId="0" fontId="0" fillId="9" borderId="14" xfId="0" applyFill="1" applyBorder="1" applyAlignment="1">
      <alignment horizontal="right"/>
    </xf>
    <xf numFmtId="8" fontId="0" fillId="9" borderId="4" xfId="0" applyNumberFormat="1" applyFill="1" applyBorder="1"/>
    <xf numFmtId="8" fontId="0" fillId="9" borderId="6" xfId="0" applyNumberFormat="1" applyFill="1" applyBorder="1"/>
    <xf numFmtId="8" fontId="0" fillId="9" borderId="8" xfId="0" applyNumberFormat="1" applyFill="1" applyBorder="1"/>
    <xf numFmtId="3" fontId="0" fillId="9" borderId="0" xfId="0" applyNumberFormat="1" applyFill="1" applyAlignment="1">
      <alignment horizontal="left"/>
    </xf>
    <xf numFmtId="7" fontId="0" fillId="9" borderId="4" xfId="0" applyNumberFormat="1" applyFill="1" applyBorder="1"/>
    <xf numFmtId="4" fontId="0" fillId="9" borderId="5" xfId="0" applyNumberFormat="1" applyFill="1" applyBorder="1"/>
    <xf numFmtId="7" fontId="0" fillId="9" borderId="6" xfId="0" applyNumberFormat="1" applyFill="1" applyBorder="1"/>
    <xf numFmtId="4" fontId="0" fillId="9" borderId="7" xfId="0" applyNumberFormat="1" applyFill="1" applyBorder="1"/>
    <xf numFmtId="7" fontId="0" fillId="9" borderId="8" xfId="0" applyNumberFormat="1" applyFill="1" applyBorder="1"/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3" fontId="0" fillId="9" borderId="0" xfId="0" applyNumberFormat="1" applyFill="1" applyAlignment="1">
      <alignment horizontal="right"/>
    </xf>
    <xf numFmtId="168" fontId="0" fillId="0" borderId="3" xfId="1" applyNumberFormat="1" applyFont="1" applyFill="1" applyBorder="1" applyAlignment="1">
      <alignment horizontal="right"/>
    </xf>
    <xf numFmtId="168" fontId="0" fillId="0" borderId="5" xfId="1" applyNumberFormat="1" applyFont="1" applyFill="1" applyBorder="1" applyAlignment="1">
      <alignment horizontal="right"/>
    </xf>
    <xf numFmtId="168" fontId="0" fillId="0" borderId="7" xfId="1" applyNumberFormat="1" applyFont="1" applyFill="1" applyBorder="1" applyAlignment="1">
      <alignment horizontal="right"/>
    </xf>
    <xf numFmtId="42" fontId="2" fillId="6" borderId="2" xfId="0" applyNumberFormat="1" applyFont="1" applyFill="1" applyBorder="1"/>
    <xf numFmtId="42" fontId="2" fillId="6" borderId="12" xfId="0" applyNumberFormat="1" applyFont="1" applyFill="1" applyBorder="1"/>
    <xf numFmtId="169" fontId="0" fillId="9" borderId="10" xfId="0" applyNumberFormat="1" applyFill="1" applyBorder="1"/>
    <xf numFmtId="0" fontId="0" fillId="10" borderId="0" xfId="0" applyFill="1"/>
    <xf numFmtId="169" fontId="0" fillId="9" borderId="0" xfId="0" applyNumberFormat="1" applyFill="1"/>
    <xf numFmtId="3" fontId="0" fillId="0" borderId="2" xfId="0" applyNumberFormat="1" applyBorder="1"/>
    <xf numFmtId="44" fontId="0" fillId="0" borderId="2" xfId="0" applyNumberFormat="1" applyBorder="1"/>
    <xf numFmtId="170" fontId="0" fillId="9" borderId="10" xfId="0" applyNumberFormat="1" applyFill="1" applyBorder="1"/>
    <xf numFmtId="0" fontId="0" fillId="12" borderId="0" xfId="0" applyFill="1"/>
    <xf numFmtId="168" fontId="0" fillId="9" borderId="0" xfId="0" applyNumberFormat="1" applyFill="1"/>
    <xf numFmtId="168" fontId="0" fillId="0" borderId="3" xfId="0" applyNumberFormat="1" applyBorder="1"/>
    <xf numFmtId="168" fontId="0" fillId="0" borderId="5" xfId="0" applyNumberFormat="1" applyBorder="1"/>
    <xf numFmtId="167" fontId="0" fillId="9" borderId="5" xfId="0" applyNumberFormat="1" applyFill="1" applyBorder="1"/>
    <xf numFmtId="3" fontId="0" fillId="0" borderId="16" xfId="0" applyNumberFormat="1" applyBorder="1"/>
    <xf numFmtId="167" fontId="0" fillId="9" borderId="12" xfId="0" applyNumberFormat="1" applyFill="1" applyBorder="1"/>
    <xf numFmtId="3" fontId="0" fillId="0" borderId="17" xfId="0" applyNumberFormat="1" applyBorder="1"/>
    <xf numFmtId="167" fontId="0" fillId="9" borderId="7" xfId="0" applyNumberFormat="1" applyFill="1" applyBorder="1"/>
    <xf numFmtId="43" fontId="0" fillId="0" borderId="0" xfId="0" applyNumberFormat="1"/>
    <xf numFmtId="43" fontId="0" fillId="0" borderId="1" xfId="0" applyNumberFormat="1" applyBorder="1"/>
    <xf numFmtId="43" fontId="0" fillId="9" borderId="6" xfId="0" applyNumberFormat="1" applyFill="1" applyBorder="1"/>
    <xf numFmtId="43" fontId="0" fillId="9" borderId="8" xfId="0" applyNumberFormat="1" applyFill="1" applyBorder="1"/>
    <xf numFmtId="3" fontId="2" fillId="9" borderId="2" xfId="0" applyNumberFormat="1" applyFont="1" applyFill="1" applyBorder="1"/>
    <xf numFmtId="0" fontId="0" fillId="9" borderId="4" xfId="0" applyFill="1" applyBorder="1"/>
    <xf numFmtId="4" fontId="0" fillId="9" borderId="1" xfId="0" applyNumberFormat="1" applyFill="1" applyBorder="1"/>
    <xf numFmtId="3" fontId="0" fillId="9" borderId="1" xfId="0" applyNumberFormat="1" applyFill="1" applyBorder="1"/>
    <xf numFmtId="4" fontId="0" fillId="9" borderId="3" xfId="0" applyNumberFormat="1" applyFill="1" applyBorder="1"/>
    <xf numFmtId="164" fontId="0" fillId="9" borderId="3" xfId="0" applyNumberFormat="1" applyFill="1" applyBorder="1"/>
    <xf numFmtId="0" fontId="0" fillId="9" borderId="7" xfId="0" applyFill="1" applyBorder="1" applyAlignment="1">
      <alignment horizontal="right"/>
    </xf>
    <xf numFmtId="164" fontId="0" fillId="9" borderId="1" xfId="0" applyNumberFormat="1" applyFill="1" applyBorder="1" applyAlignment="1">
      <alignment horizontal="right"/>
    </xf>
    <xf numFmtId="0" fontId="0" fillId="9" borderId="8" xfId="0" applyFill="1" applyBorder="1" applyAlignment="1">
      <alignment horizontal="right"/>
    </xf>
    <xf numFmtId="4" fontId="0" fillId="9" borderId="7" xfId="0" applyNumberFormat="1" applyFill="1" applyBorder="1" applyAlignment="1">
      <alignment horizontal="right"/>
    </xf>
    <xf numFmtId="168" fontId="0" fillId="9" borderId="13" xfId="0" applyNumberFormat="1" applyFill="1" applyBorder="1"/>
    <xf numFmtId="168" fontId="0" fillId="9" borderId="12" xfId="0" applyNumberFormat="1" applyFill="1" applyBorder="1"/>
    <xf numFmtId="168" fontId="2" fillId="9" borderId="0" xfId="0" applyNumberFormat="1" applyFont="1" applyFill="1"/>
    <xf numFmtId="0" fontId="0" fillId="9" borderId="11" xfId="0" applyFill="1" applyBorder="1" applyAlignment="1">
      <alignment horizontal="left"/>
    </xf>
    <xf numFmtId="3" fontId="0" fillId="9" borderId="7" xfId="0" applyNumberFormat="1" applyFill="1" applyBorder="1"/>
    <xf numFmtId="4" fontId="0" fillId="0" borderId="11" xfId="0" applyNumberFormat="1" applyBorder="1"/>
    <xf numFmtId="4" fontId="0" fillId="0" borderId="13" xfId="0" applyNumberFormat="1" applyBorder="1"/>
    <xf numFmtId="42" fontId="0" fillId="6" borderId="10" xfId="0" applyNumberFormat="1" applyFill="1" applyBorder="1"/>
    <xf numFmtId="9" fontId="0" fillId="6" borderId="5" xfId="2" applyFont="1" applyFill="1" applyBorder="1"/>
    <xf numFmtId="9" fontId="0" fillId="6" borderId="7" xfId="2" applyFont="1" applyFill="1" applyBorder="1"/>
    <xf numFmtId="0" fontId="0" fillId="8" borderId="10" xfId="0" applyFill="1" applyBorder="1"/>
    <xf numFmtId="0" fontId="0" fillId="6" borderId="0" xfId="0" applyFill="1" applyBorder="1"/>
    <xf numFmtId="0" fontId="0" fillId="6" borderId="0" xfId="0" applyFill="1" applyBorder="1" applyAlignment="1">
      <alignment horizontal="right"/>
    </xf>
    <xf numFmtId="8" fontId="0" fillId="11" borderId="6" xfId="0" applyNumberFormat="1" applyFill="1" applyBorder="1"/>
    <xf numFmtId="0" fontId="2" fillId="10" borderId="0" xfId="0" applyFont="1" applyFill="1"/>
    <xf numFmtId="0" fontId="0" fillId="12" borderId="18" xfId="0" applyFill="1" applyBorder="1"/>
    <xf numFmtId="0" fontId="0" fillId="12" borderId="19" xfId="0" applyFill="1" applyBorder="1"/>
    <xf numFmtId="3" fontId="0" fillId="9" borderId="14" xfId="0" applyNumberFormat="1" applyFill="1" applyBorder="1"/>
    <xf numFmtId="3" fontId="0" fillId="9" borderId="4" xfId="0" applyNumberFormat="1" applyFill="1" applyBorder="1"/>
    <xf numFmtId="3" fontId="0" fillId="9" borderId="0" xfId="0" applyNumberFormat="1" applyFill="1" applyBorder="1"/>
    <xf numFmtId="7" fontId="0" fillId="9" borderId="6" xfId="0" applyNumberFormat="1" applyFont="1" applyFill="1" applyBorder="1"/>
    <xf numFmtId="7" fontId="2" fillId="9" borderId="8" xfId="0" applyNumberFormat="1" applyFont="1" applyFill="1" applyBorder="1"/>
    <xf numFmtId="0" fontId="0" fillId="9" borderId="18" xfId="0" applyFill="1" applyBorder="1"/>
    <xf numFmtId="0" fontId="0" fillId="9" borderId="19" xfId="0" applyFill="1" applyBorder="1"/>
    <xf numFmtId="167" fontId="0" fillId="0" borderId="3" xfId="0" applyNumberFormat="1" applyBorder="1"/>
    <xf numFmtId="167" fontId="0" fillId="0" borderId="5" xfId="0" applyNumberFormat="1" applyBorder="1"/>
    <xf numFmtId="167" fontId="0" fillId="0" borderId="7" xfId="0" applyNumberFormat="1" applyBorder="1"/>
    <xf numFmtId="9" fontId="0" fillId="8" borderId="7" xfId="2" applyFont="1" applyFill="1" applyBorder="1"/>
    <xf numFmtId="42" fontId="0" fillId="8" borderId="8" xfId="0" applyNumberFormat="1" applyFill="1" applyBorder="1"/>
    <xf numFmtId="9" fontId="0" fillId="6" borderId="3" xfId="2" applyFont="1" applyFill="1" applyBorder="1"/>
    <xf numFmtId="7" fontId="0" fillId="11" borderId="6" xfId="0" applyNumberFormat="1" applyFill="1" applyBorder="1"/>
    <xf numFmtId="7" fontId="0" fillId="11" borderId="8" xfId="0" applyNumberFormat="1" applyFill="1" applyBorder="1"/>
    <xf numFmtId="42" fontId="0" fillId="9" borderId="2" xfId="0" applyNumberFormat="1" applyFill="1" applyBorder="1"/>
    <xf numFmtId="9" fontId="0" fillId="0" borderId="5" xfId="2" applyFont="1" applyFill="1" applyBorder="1"/>
    <xf numFmtId="9" fontId="0" fillId="6" borderId="11" xfId="2" applyFont="1" applyFill="1" applyBorder="1"/>
    <xf numFmtId="9" fontId="0" fillId="0" borderId="3" xfId="2" applyFont="1" applyFill="1" applyBorder="1"/>
    <xf numFmtId="9" fontId="0" fillId="0" borderId="7" xfId="2" applyFont="1" applyFill="1" applyBorder="1"/>
    <xf numFmtId="7" fontId="0" fillId="11" borderId="4" xfId="0" applyNumberFormat="1" applyFill="1" applyBorder="1"/>
    <xf numFmtId="9" fontId="0" fillId="0" borderId="3" xfId="0" applyNumberFormat="1" applyFill="1" applyBorder="1"/>
    <xf numFmtId="42" fontId="0" fillId="9" borderId="4" xfId="0" applyNumberFormat="1" applyFill="1" applyBorder="1"/>
    <xf numFmtId="9" fontId="0" fillId="0" borderId="5" xfId="0" applyNumberFormat="1" applyFill="1" applyBorder="1"/>
    <xf numFmtId="42" fontId="0" fillId="9" borderId="6" xfId="0" applyNumberFormat="1" applyFill="1" applyBorder="1"/>
    <xf numFmtId="9" fontId="0" fillId="0" borderId="7" xfId="0" applyNumberFormat="1" applyFill="1" applyBorder="1"/>
    <xf numFmtId="42" fontId="0" fillId="9" borderId="8" xfId="0" applyNumberFormat="1" applyFill="1" applyBorder="1"/>
    <xf numFmtId="165" fontId="2" fillId="9" borderId="0" xfId="0" applyNumberFormat="1" applyFont="1" applyFill="1"/>
    <xf numFmtId="169" fontId="0" fillId="9" borderId="8" xfId="0" applyNumberFormat="1" applyFill="1" applyBorder="1"/>
    <xf numFmtId="164" fontId="0" fillId="8" borderId="11" xfId="0" applyNumberFormat="1" applyFill="1" applyBorder="1" applyAlignment="1">
      <alignment horizontal="right"/>
    </xf>
    <xf numFmtId="42" fontId="0" fillId="8" borderId="4" xfId="0" applyNumberFormat="1" applyFill="1" applyBorder="1" applyAlignment="1">
      <alignment horizontal="right"/>
    </xf>
    <xf numFmtId="0" fontId="0" fillId="8" borderId="3" xfId="0" applyFont="1" applyFill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colors>
    <mruColors>
      <color rgb="FFF6EEEA"/>
      <color rgb="FFFF9FFF"/>
      <color rgb="FFEBD9D1"/>
      <color rgb="FFC3967F"/>
      <color rgb="FFF2E7E2"/>
      <color rgb="FFE67300"/>
      <color rgb="FFFFE2C5"/>
      <color rgb="FFFFF7EF"/>
      <color rgb="FFF7EEE5"/>
      <color rgb="FFFF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5E3C-1875-4154-B98F-49A5396A8D32}">
  <dimension ref="A1:R36"/>
  <sheetViews>
    <sheetView tabSelected="1" zoomScaleNormal="100" workbookViewId="0">
      <selection activeCell="A2" sqref="A2"/>
    </sheetView>
  </sheetViews>
  <sheetFormatPr defaultRowHeight="14" x14ac:dyDescent="0.3"/>
  <cols>
    <col min="1" max="1" width="3.1640625" style="1" customWidth="1"/>
    <col min="2" max="16384" width="8.6640625" style="1"/>
  </cols>
  <sheetData>
    <row r="1" spans="1:18" x14ac:dyDescent="0.3">
      <c r="A1" s="1" t="s">
        <v>112</v>
      </c>
    </row>
    <row r="2" spans="1:18" ht="20" x14ac:dyDescent="0.4">
      <c r="B2" s="5" t="s">
        <v>51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x14ac:dyDescent="0.3">
      <c r="B3" s="1" t="s">
        <v>112</v>
      </c>
    </row>
    <row r="4" spans="1:18" ht="15.5" x14ac:dyDescent="0.35">
      <c r="B4" s="7" t="s">
        <v>32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3">
      <c r="B5" s="1" t="s">
        <v>33</v>
      </c>
    </row>
    <row r="6" spans="1:18" x14ac:dyDescent="0.3">
      <c r="B6" s="1" t="s">
        <v>34</v>
      </c>
    </row>
    <row r="7" spans="1:18" x14ac:dyDescent="0.3">
      <c r="B7" s="1" t="s">
        <v>35</v>
      </c>
    </row>
    <row r="8" spans="1:18" x14ac:dyDescent="0.3">
      <c r="B8" s="1" t="s">
        <v>36</v>
      </c>
    </row>
    <row r="9" spans="1:18" x14ac:dyDescent="0.3">
      <c r="B9" s="1" t="s">
        <v>45</v>
      </c>
    </row>
    <row r="10" spans="1:18" x14ac:dyDescent="0.3">
      <c r="B10" s="1" t="s">
        <v>271</v>
      </c>
    </row>
    <row r="12" spans="1:18" ht="15.5" x14ac:dyDescent="0.35">
      <c r="B12" s="7" t="s">
        <v>37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3">
      <c r="B13" s="1" t="s">
        <v>38</v>
      </c>
    </row>
    <row r="14" spans="1:18" x14ac:dyDescent="0.3">
      <c r="B14" s="1" t="s">
        <v>39</v>
      </c>
    </row>
    <row r="15" spans="1:18" x14ac:dyDescent="0.3">
      <c r="B15" s="1" t="s">
        <v>40</v>
      </c>
    </row>
    <row r="16" spans="1:18" x14ac:dyDescent="0.3">
      <c r="B16" s="1" t="s">
        <v>263</v>
      </c>
    </row>
    <row r="17" spans="2:18" x14ac:dyDescent="0.3">
      <c r="B17" s="1" t="s">
        <v>265</v>
      </c>
    </row>
    <row r="18" spans="2:18" x14ac:dyDescent="0.3">
      <c r="B18" s="1" t="s">
        <v>266</v>
      </c>
    </row>
    <row r="19" spans="2:18" x14ac:dyDescent="0.3">
      <c r="B19" s="1" t="s">
        <v>270</v>
      </c>
    </row>
    <row r="21" spans="2:18" ht="15.5" x14ac:dyDescent="0.35">
      <c r="B21" s="7" t="s">
        <v>41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2:18" x14ac:dyDescent="0.3">
      <c r="B22" s="1" t="s">
        <v>110</v>
      </c>
      <c r="E22" s="1" t="s">
        <v>49</v>
      </c>
    </row>
    <row r="23" spans="2:18" x14ac:dyDescent="0.3">
      <c r="E23" s="1" t="s">
        <v>50</v>
      </c>
    </row>
    <row r="24" spans="2:18" x14ac:dyDescent="0.3">
      <c r="B24" s="1" t="s">
        <v>42</v>
      </c>
      <c r="E24" s="1" t="s">
        <v>47</v>
      </c>
    </row>
    <row r="25" spans="2:18" x14ac:dyDescent="0.3">
      <c r="E25" s="1" t="s">
        <v>48</v>
      </c>
    </row>
    <row r="26" spans="2:18" x14ac:dyDescent="0.3">
      <c r="B26" s="1" t="s">
        <v>43</v>
      </c>
      <c r="E26" s="1" t="s">
        <v>44</v>
      </c>
    </row>
    <row r="28" spans="2:18" x14ac:dyDescent="0.3">
      <c r="B28" s="4" t="s">
        <v>46</v>
      </c>
      <c r="C28" s="4"/>
      <c r="D28" s="4"/>
      <c r="E28" s="4"/>
      <c r="G28" s="4" t="s">
        <v>254</v>
      </c>
      <c r="H28" s="4"/>
      <c r="I28" s="4"/>
      <c r="J28" s="4"/>
      <c r="K28" s="4"/>
      <c r="L28" s="4"/>
      <c r="M28" s="4"/>
      <c r="N28" s="4"/>
      <c r="O28" s="4"/>
    </row>
    <row r="30" spans="2:18" x14ac:dyDescent="0.3">
      <c r="B30" s="2" t="s">
        <v>52</v>
      </c>
    </row>
    <row r="31" spans="2:18" x14ac:dyDescent="0.3">
      <c r="B31" s="1" t="s">
        <v>255</v>
      </c>
    </row>
    <row r="32" spans="2:18" x14ac:dyDescent="0.3">
      <c r="B32" s="1" t="s">
        <v>256</v>
      </c>
    </row>
    <row r="33" spans="2:2" x14ac:dyDescent="0.3">
      <c r="B33" s="1" t="s">
        <v>257</v>
      </c>
    </row>
    <row r="34" spans="2:2" x14ac:dyDescent="0.3">
      <c r="B34" s="1" t="s">
        <v>258</v>
      </c>
    </row>
    <row r="35" spans="2:2" x14ac:dyDescent="0.3">
      <c r="B35" s="1" t="s">
        <v>259</v>
      </c>
    </row>
    <row r="36" spans="2:2" x14ac:dyDescent="0.3">
      <c r="B36" s="1" t="s">
        <v>260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B421-AD3F-4391-BD23-F3503F250C25}">
  <dimension ref="B2:H39"/>
  <sheetViews>
    <sheetView zoomScale="108" zoomScaleNormal="108" workbookViewId="0">
      <selection activeCell="B27" sqref="B27"/>
    </sheetView>
  </sheetViews>
  <sheetFormatPr defaultColWidth="11" defaultRowHeight="14" x14ac:dyDescent="0.3"/>
  <cols>
    <col min="1" max="1" width="4.1640625" style="64" customWidth="1"/>
    <col min="2" max="2" width="31.58203125" style="64" customWidth="1"/>
    <col min="3" max="3" width="11.83203125" style="64" bestFit="1" customWidth="1"/>
    <col min="4" max="4" width="6.08203125" style="64" customWidth="1"/>
    <col min="5" max="5" width="14.9140625" style="64" bestFit="1" customWidth="1"/>
    <col min="6" max="16384" width="11" style="64"/>
  </cols>
  <sheetData>
    <row r="2" spans="2:6" ht="18" x14ac:dyDescent="0.4">
      <c r="B2" s="66" t="s">
        <v>128</v>
      </c>
      <c r="C2" s="64" t="s">
        <v>280</v>
      </c>
      <c r="D2" s="64" t="s">
        <v>281</v>
      </c>
      <c r="E2" s="74" t="str">
        <f>'A. Opbrengsten'!B4</f>
        <v>Kwamkwammers</v>
      </c>
    </row>
    <row r="3" spans="2:6" x14ac:dyDescent="0.3">
      <c r="B3" s="8" t="s">
        <v>19</v>
      </c>
      <c r="C3" s="167">
        <v>5000</v>
      </c>
      <c r="D3" s="271">
        <v>0.1</v>
      </c>
      <c r="E3" s="272">
        <f>D3*C3</f>
        <v>500</v>
      </c>
      <c r="F3" s="107"/>
    </row>
    <row r="4" spans="2:6" x14ac:dyDescent="0.3">
      <c r="B4" s="9" t="s">
        <v>20</v>
      </c>
      <c r="C4" s="168"/>
      <c r="D4" s="273">
        <v>0.1</v>
      </c>
      <c r="E4" s="274">
        <f t="shared" ref="E4:E16" si="0">D4*C4</f>
        <v>0</v>
      </c>
    </row>
    <row r="5" spans="2:6" x14ac:dyDescent="0.3">
      <c r="B5" s="9" t="s">
        <v>21</v>
      </c>
      <c r="C5" s="168"/>
      <c r="D5" s="273">
        <v>0.1</v>
      </c>
      <c r="E5" s="274">
        <f t="shared" si="0"/>
        <v>0</v>
      </c>
    </row>
    <row r="6" spans="2:6" x14ac:dyDescent="0.3">
      <c r="B6" s="9" t="s">
        <v>22</v>
      </c>
      <c r="C6" s="168"/>
      <c r="D6" s="273">
        <v>0.1</v>
      </c>
      <c r="E6" s="274">
        <f t="shared" si="0"/>
        <v>0</v>
      </c>
    </row>
    <row r="7" spans="2:6" x14ac:dyDescent="0.3">
      <c r="B7" s="9" t="s">
        <v>23</v>
      </c>
      <c r="C7" s="168"/>
      <c r="D7" s="273">
        <v>0.1</v>
      </c>
      <c r="E7" s="274">
        <f t="shared" si="0"/>
        <v>0</v>
      </c>
    </row>
    <row r="8" spans="2:6" x14ac:dyDescent="0.3">
      <c r="B8" s="9" t="s">
        <v>24</v>
      </c>
      <c r="C8" s="168"/>
      <c r="D8" s="273">
        <v>0.1</v>
      </c>
      <c r="E8" s="274">
        <f t="shared" si="0"/>
        <v>0</v>
      </c>
    </row>
    <row r="9" spans="2:6" x14ac:dyDescent="0.3">
      <c r="B9" s="9" t="s">
        <v>25</v>
      </c>
      <c r="C9" s="168"/>
      <c r="D9" s="273">
        <v>0.1</v>
      </c>
      <c r="E9" s="274">
        <f t="shared" si="0"/>
        <v>0</v>
      </c>
    </row>
    <row r="10" spans="2:6" x14ac:dyDescent="0.3">
      <c r="B10" s="9" t="s">
        <v>129</v>
      </c>
      <c r="C10" s="168">
        <v>500</v>
      </c>
      <c r="D10" s="273">
        <v>0.1</v>
      </c>
      <c r="E10" s="274">
        <f t="shared" si="0"/>
        <v>50</v>
      </c>
    </row>
    <row r="11" spans="2:6" x14ac:dyDescent="0.3">
      <c r="B11" s="9" t="s">
        <v>130</v>
      </c>
      <c r="C11" s="168"/>
      <c r="D11" s="273">
        <v>0.1</v>
      </c>
      <c r="E11" s="274">
        <f t="shared" si="0"/>
        <v>0</v>
      </c>
    </row>
    <row r="12" spans="2:6" x14ac:dyDescent="0.3">
      <c r="B12" s="9" t="s">
        <v>131</v>
      </c>
      <c r="C12" s="168"/>
      <c r="D12" s="273">
        <v>0.1</v>
      </c>
      <c r="E12" s="274">
        <f t="shared" si="0"/>
        <v>0</v>
      </c>
    </row>
    <row r="13" spans="2:6" x14ac:dyDescent="0.3">
      <c r="B13" s="9"/>
      <c r="C13" s="168"/>
      <c r="D13" s="273">
        <v>0.1</v>
      </c>
      <c r="E13" s="274">
        <f t="shared" si="0"/>
        <v>0</v>
      </c>
    </row>
    <row r="14" spans="2:6" x14ac:dyDescent="0.3">
      <c r="B14" s="9"/>
      <c r="C14" s="168"/>
      <c r="D14" s="273">
        <v>0.1</v>
      </c>
      <c r="E14" s="274">
        <f t="shared" si="0"/>
        <v>0</v>
      </c>
    </row>
    <row r="15" spans="2:6" x14ac:dyDescent="0.3">
      <c r="B15" s="9"/>
      <c r="C15" s="168"/>
      <c r="D15" s="273">
        <v>0.1</v>
      </c>
      <c r="E15" s="274">
        <f t="shared" si="0"/>
        <v>0</v>
      </c>
    </row>
    <row r="16" spans="2:6" x14ac:dyDescent="0.3">
      <c r="B16" s="10"/>
      <c r="C16" s="169"/>
      <c r="D16" s="275">
        <v>0.1</v>
      </c>
      <c r="E16" s="276">
        <f t="shared" si="0"/>
        <v>0</v>
      </c>
    </row>
    <row r="17" spans="2:8" x14ac:dyDescent="0.3">
      <c r="B17" s="67" t="s">
        <v>166</v>
      </c>
      <c r="C17" s="101">
        <f>SUM(C3:C16)</f>
        <v>5500</v>
      </c>
      <c r="E17" s="174">
        <f>SUM(E3:E16)</f>
        <v>550</v>
      </c>
    </row>
    <row r="19" spans="2:8" x14ac:dyDescent="0.3">
      <c r="B19" s="68" t="s">
        <v>155</v>
      </c>
      <c r="C19" s="270">
        <f>E17/'E DPM-Gebouwen'!C10</f>
        <v>5.0000000000000001E-3</v>
      </c>
    </row>
    <row r="20" spans="2:8" x14ac:dyDescent="0.3">
      <c r="B20" s="69" t="s">
        <v>168</v>
      </c>
      <c r="C20" s="263">
        <f>E17/'D DPM-Grond'!C10</f>
        <v>4.583333333333333E-2</v>
      </c>
    </row>
    <row r="21" spans="2:8" x14ac:dyDescent="0.3">
      <c r="B21" s="72" t="s">
        <v>169</v>
      </c>
      <c r="C21" s="264">
        <f>E17/'A. Opbrengsten'!C5</f>
        <v>5.4999999999999997E-3</v>
      </c>
    </row>
    <row r="24" spans="2:8" x14ac:dyDescent="0.3">
      <c r="B24" s="142" t="s">
        <v>120</v>
      </c>
    </row>
    <row r="25" spans="2:8" x14ac:dyDescent="0.3">
      <c r="B25" s="64" t="s">
        <v>133</v>
      </c>
      <c r="C25" s="74"/>
    </row>
    <row r="26" spans="2:8" x14ac:dyDescent="0.3">
      <c r="B26" s="64" t="s">
        <v>132</v>
      </c>
      <c r="C26" s="165"/>
    </row>
    <row r="28" spans="2:8" x14ac:dyDescent="0.3">
      <c r="B28" s="142" t="s">
        <v>267</v>
      </c>
      <c r="F28" s="19"/>
      <c r="G28" s="19"/>
      <c r="H28" s="19"/>
    </row>
    <row r="29" spans="2:8" x14ac:dyDescent="0.3">
      <c r="B29" s="64" t="s">
        <v>269</v>
      </c>
      <c r="C29" s="248"/>
      <c r="D29" s="248"/>
      <c r="E29" s="248"/>
      <c r="F29" s="248"/>
      <c r="G29" s="248"/>
      <c r="H29" s="248"/>
    </row>
    <row r="30" spans="2:8" x14ac:dyDescent="0.3">
      <c r="B30" s="64" t="s">
        <v>268</v>
      </c>
      <c r="C30" s="249"/>
      <c r="D30" s="249"/>
      <c r="E30" s="249"/>
      <c r="F30" s="249"/>
      <c r="G30" s="249"/>
      <c r="H30" s="249"/>
    </row>
    <row r="37" spans="2:4" ht="14.5" x14ac:dyDescent="0.35">
      <c r="B37" s="166"/>
    </row>
    <row r="38" spans="2:4" x14ac:dyDescent="0.3">
      <c r="D38" s="122"/>
    </row>
    <row r="39" spans="2:4" x14ac:dyDescent="0.3">
      <c r="B39" s="74"/>
      <c r="D39" s="8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B5410-BCEB-4CBE-8C57-4F85C7F8B3C5}">
  <dimension ref="A1:I37"/>
  <sheetViews>
    <sheetView zoomScale="149" zoomScaleNormal="108" workbookViewId="0">
      <selection activeCell="B27" sqref="B27"/>
    </sheetView>
  </sheetViews>
  <sheetFormatPr defaultRowHeight="14" x14ac:dyDescent="0.3"/>
  <cols>
    <col min="1" max="1" width="8.6640625" style="64"/>
    <col min="2" max="2" width="19.83203125" style="64" bestFit="1" customWidth="1"/>
    <col min="3" max="3" width="12.4140625" style="84" customWidth="1"/>
    <col min="4" max="5" width="12.4140625" style="64" customWidth="1"/>
    <col min="6" max="6" width="8.6640625" style="64"/>
    <col min="7" max="7" width="9.83203125" style="64" bestFit="1" customWidth="1"/>
    <col min="8" max="16384" width="8.6640625" style="64"/>
  </cols>
  <sheetData>
    <row r="1" spans="1:9" x14ac:dyDescent="0.3">
      <c r="A1" s="64" t="s">
        <v>112</v>
      </c>
    </row>
    <row r="2" spans="1:9" ht="18" x14ac:dyDescent="0.4">
      <c r="B2" s="34" t="s">
        <v>134</v>
      </c>
      <c r="D2" s="67" t="str">
        <f>'2 Opdrachten'!E8</f>
        <v>Kwamkwammers</v>
      </c>
    </row>
    <row r="4" spans="1:9" x14ac:dyDescent="0.3">
      <c r="B4" s="64" t="s">
        <v>147</v>
      </c>
      <c r="C4" s="101"/>
      <c r="D4" s="101">
        <f>'A. Opbrengsten'!F5</f>
        <v>500000</v>
      </c>
    </row>
    <row r="5" spans="1:9" x14ac:dyDescent="0.3">
      <c r="B5" s="64" t="s">
        <v>194</v>
      </c>
      <c r="C5" s="101"/>
      <c r="D5" s="170">
        <f>'B Dir.kn teelt'!F25</f>
        <v>41665.5</v>
      </c>
      <c r="E5" s="171" t="s">
        <v>140</v>
      </c>
      <c r="G5" s="101"/>
      <c r="H5" s="171"/>
      <c r="I5" s="74"/>
    </row>
    <row r="6" spans="1:9" x14ac:dyDescent="0.3">
      <c r="B6" s="64" t="s">
        <v>136</v>
      </c>
      <c r="C6" s="101"/>
      <c r="D6" s="101">
        <f>D4-D5</f>
        <v>458334.5</v>
      </c>
    </row>
    <row r="7" spans="1:9" x14ac:dyDescent="0.3">
      <c r="C7" s="101"/>
      <c r="D7" s="101"/>
    </row>
    <row r="8" spans="1:9" x14ac:dyDescent="0.3">
      <c r="B8" s="175" t="s">
        <v>137</v>
      </c>
      <c r="C8" s="101"/>
      <c r="D8" s="101"/>
    </row>
    <row r="9" spans="1:9" x14ac:dyDescent="0.3">
      <c r="B9" s="64" t="s">
        <v>152</v>
      </c>
      <c r="C9" s="101">
        <f>'C Dir.kn arbeid'!H13</f>
        <v>7330.7148844036701</v>
      </c>
      <c r="D9" s="101"/>
    </row>
    <row r="10" spans="1:9" x14ac:dyDescent="0.3">
      <c r="B10" s="64" t="s">
        <v>157</v>
      </c>
      <c r="C10" s="101">
        <f>'D DPM-Grond'!H10</f>
        <v>2400</v>
      </c>
      <c r="D10" s="101"/>
    </row>
    <row r="11" spans="1:9" x14ac:dyDescent="0.3">
      <c r="B11" s="64" t="s">
        <v>159</v>
      </c>
      <c r="C11" s="101">
        <f>'E DPM-Gebouwen'!O10</f>
        <v>8930</v>
      </c>
      <c r="D11" s="101"/>
    </row>
    <row r="12" spans="1:9" x14ac:dyDescent="0.3">
      <c r="B12" s="64" t="s">
        <v>158</v>
      </c>
      <c r="C12" s="101">
        <f>'F DPM-Machines'!M12</f>
        <v>850</v>
      </c>
      <c r="D12" s="101"/>
    </row>
    <row r="13" spans="1:9" x14ac:dyDescent="0.3">
      <c r="B13" s="64" t="s">
        <v>167</v>
      </c>
      <c r="C13" s="170">
        <f>'G Alg kn'!E17</f>
        <v>550</v>
      </c>
      <c r="D13" s="172" t="s">
        <v>139</v>
      </c>
    </row>
    <row r="14" spans="1:9" x14ac:dyDescent="0.3">
      <c r="C14" s="101"/>
      <c r="D14" s="170">
        <f>SUM(C9:C13)</f>
        <v>20060.714884403671</v>
      </c>
      <c r="E14" s="171" t="s">
        <v>140</v>
      </c>
    </row>
    <row r="15" spans="1:9" x14ac:dyDescent="0.3">
      <c r="B15" s="64" t="s">
        <v>138</v>
      </c>
      <c r="C15" s="101"/>
      <c r="D15" s="174">
        <f>D6-D14</f>
        <v>438273.78511559631</v>
      </c>
    </row>
    <row r="16" spans="1:9" x14ac:dyDescent="0.3">
      <c r="C16" s="145"/>
      <c r="D16" s="145"/>
    </row>
    <row r="19" spans="2:6" x14ac:dyDescent="0.3">
      <c r="B19" s="178" t="s">
        <v>141</v>
      </c>
      <c r="C19" s="179" t="s">
        <v>18</v>
      </c>
      <c r="D19" s="82" t="s">
        <v>172</v>
      </c>
    </row>
    <row r="20" spans="2:6" x14ac:dyDescent="0.3">
      <c r="B20" s="68" t="s">
        <v>170</v>
      </c>
      <c r="C20" s="87">
        <f>'E DPM-Gebouwen'!C10*'E DPM-Gebouwen'!N9</f>
        <v>22000</v>
      </c>
      <c r="D20" s="176">
        <f>D$6/C20</f>
        <v>20.833386363636365</v>
      </c>
    </row>
    <row r="21" spans="2:6" x14ac:dyDescent="0.3">
      <c r="B21" s="69" t="s">
        <v>171</v>
      </c>
      <c r="C21" s="90">
        <f>'D DPM-Grond'!C10*'D DPM-Grond'!G4</f>
        <v>1200</v>
      </c>
      <c r="D21" s="177">
        <f>D$6/C21</f>
        <v>381.94541666666669</v>
      </c>
    </row>
    <row r="22" spans="2:6" x14ac:dyDescent="0.3">
      <c r="B22" s="72" t="s">
        <v>142</v>
      </c>
      <c r="C22" s="93">
        <f>'A. Opbrengsten'!C4</f>
        <v>100000</v>
      </c>
      <c r="D22" s="278">
        <f>D$6/C22</f>
        <v>4.5833449999999996</v>
      </c>
    </row>
    <row r="25" spans="2:6" x14ac:dyDescent="0.3">
      <c r="C25" s="145"/>
      <c r="D25" s="277"/>
    </row>
    <row r="26" spans="2:6" x14ac:dyDescent="0.3">
      <c r="B26" s="178" t="s">
        <v>284</v>
      </c>
      <c r="C26" s="179" t="s">
        <v>18</v>
      </c>
      <c r="D26" s="82" t="s">
        <v>285</v>
      </c>
      <c r="E26" s="82" t="s">
        <v>286</v>
      </c>
      <c r="F26" s="82" t="s">
        <v>284</v>
      </c>
    </row>
    <row r="27" spans="2:6" x14ac:dyDescent="0.3">
      <c r="B27" s="281" t="s">
        <v>282</v>
      </c>
      <c r="C27" s="279"/>
      <c r="D27" s="280">
        <f>D5</f>
        <v>41665.5</v>
      </c>
      <c r="E27" s="280">
        <f>D14</f>
        <v>20060.714884403671</v>
      </c>
      <c r="F27" s="280">
        <f>D5+D14</f>
        <v>61726.214884403671</v>
      </c>
    </row>
    <row r="28" spans="2:6" x14ac:dyDescent="0.3">
      <c r="B28" s="68" t="s">
        <v>170</v>
      </c>
      <c r="C28" s="87">
        <f>C20</f>
        <v>22000</v>
      </c>
      <c r="D28" s="176">
        <f>D27/C28</f>
        <v>1.8938863636363636</v>
      </c>
      <c r="E28" s="176">
        <f>E27/C28</f>
        <v>0.91185067656380325</v>
      </c>
      <c r="F28" s="176">
        <f>F27/C28</f>
        <v>2.8057370402001669</v>
      </c>
    </row>
    <row r="29" spans="2:6" x14ac:dyDescent="0.3">
      <c r="B29" s="69" t="s">
        <v>171</v>
      </c>
      <c r="C29" s="90">
        <f>C21</f>
        <v>1200</v>
      </c>
      <c r="D29" s="177">
        <f>D27/C29</f>
        <v>34.721249999999998</v>
      </c>
      <c r="E29" s="177">
        <f>E27/C29</f>
        <v>16.717262403669725</v>
      </c>
      <c r="F29" s="177">
        <f>F27/C29</f>
        <v>51.438512403669726</v>
      </c>
    </row>
    <row r="30" spans="2:6" x14ac:dyDescent="0.3">
      <c r="B30" s="72" t="s">
        <v>142</v>
      </c>
      <c r="C30" s="93">
        <f>C22</f>
        <v>100000</v>
      </c>
      <c r="D30" s="278">
        <f>D27/C30</f>
        <v>0.416655</v>
      </c>
      <c r="E30" s="278">
        <f>E27/C30</f>
        <v>0.20060714884403671</v>
      </c>
      <c r="F30" s="278">
        <f>F27/C30</f>
        <v>0.61726214884403674</v>
      </c>
    </row>
    <row r="31" spans="2:6" x14ac:dyDescent="0.3">
      <c r="C31" s="74"/>
      <c r="D31" s="206"/>
    </row>
    <row r="32" spans="2:6" x14ac:dyDescent="0.3">
      <c r="B32" s="142" t="s">
        <v>120</v>
      </c>
    </row>
    <row r="33" spans="2:2" x14ac:dyDescent="0.3">
      <c r="B33" s="64" t="s">
        <v>143</v>
      </c>
    </row>
    <row r="34" spans="2:2" x14ac:dyDescent="0.3">
      <c r="B34" s="64" t="s">
        <v>144</v>
      </c>
    </row>
    <row r="35" spans="2:2" x14ac:dyDescent="0.3">
      <c r="B35" s="64" t="s">
        <v>195</v>
      </c>
    </row>
    <row r="36" spans="2:2" x14ac:dyDescent="0.3">
      <c r="B36" s="64" t="s">
        <v>196</v>
      </c>
    </row>
    <row r="37" spans="2:2" x14ac:dyDescent="0.3">
      <c r="B37" s="64" t="s">
        <v>283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808A6-F0D0-4FCD-A575-4EB83170FBBC}">
  <dimension ref="B2:K29"/>
  <sheetViews>
    <sheetView topLeftCell="A2" zoomScaleNormal="100" workbookViewId="0">
      <selection activeCell="B18" sqref="B18"/>
    </sheetView>
  </sheetViews>
  <sheetFormatPr defaultRowHeight="14" x14ac:dyDescent="0.3"/>
  <cols>
    <col min="1" max="1" width="3.25" style="64" customWidth="1"/>
    <col min="2" max="2" width="10.4140625" style="64" customWidth="1"/>
    <col min="3" max="3" width="8.6640625" style="64"/>
    <col min="4" max="4" width="26.6640625" style="64" customWidth="1"/>
    <col min="5" max="5" width="9.6640625" style="64" customWidth="1"/>
    <col min="6" max="6" width="28.9140625" style="64" customWidth="1"/>
    <col min="7" max="16384" width="8.6640625" style="64"/>
  </cols>
  <sheetData>
    <row r="2" spans="2:11" ht="20" x14ac:dyDescent="0.4">
      <c r="B2" s="61" t="s">
        <v>53</v>
      </c>
      <c r="C2" s="62"/>
      <c r="D2" s="62"/>
      <c r="E2" s="62"/>
      <c r="F2" s="62"/>
    </row>
    <row r="4" spans="2:11" ht="17" x14ac:dyDescent="0.5">
      <c r="B4" s="247" t="s">
        <v>272</v>
      </c>
      <c r="C4" s="247"/>
      <c r="D4" s="247"/>
      <c r="E4" s="247"/>
      <c r="F4" s="247"/>
      <c r="G4" s="247"/>
      <c r="H4" s="247"/>
      <c r="I4" s="247"/>
      <c r="J4" s="247"/>
      <c r="K4" s="205"/>
    </row>
    <row r="5" spans="2:11" x14ac:dyDescent="0.3">
      <c r="B5" s="64" t="s">
        <v>54</v>
      </c>
      <c r="E5" t="s">
        <v>59</v>
      </c>
      <c r="F5" t="s">
        <v>60</v>
      </c>
    </row>
    <row r="6" spans="2:11" x14ac:dyDescent="0.3">
      <c r="B6" s="64" t="s">
        <v>55</v>
      </c>
      <c r="E6" t="s">
        <v>59</v>
      </c>
      <c r="F6" t="s">
        <v>60</v>
      </c>
    </row>
    <row r="7" spans="2:11" x14ac:dyDescent="0.3">
      <c r="B7" s="64" t="s">
        <v>56</v>
      </c>
      <c r="E7" t="s">
        <v>57</v>
      </c>
      <c r="F7" t="s">
        <v>58</v>
      </c>
    </row>
    <row r="8" spans="2:11" x14ac:dyDescent="0.3">
      <c r="B8" s="64" t="s">
        <v>61</v>
      </c>
      <c r="E8" s="210" t="s">
        <v>204</v>
      </c>
      <c r="F8" s="210"/>
    </row>
    <row r="9" spans="2:11" x14ac:dyDescent="0.3">
      <c r="B9" s="64" t="s">
        <v>62</v>
      </c>
    </row>
    <row r="10" spans="2:11" x14ac:dyDescent="0.3">
      <c r="B10" s="64" t="s">
        <v>63</v>
      </c>
      <c r="E10" t="s">
        <v>64</v>
      </c>
      <c r="F10" t="s">
        <v>65</v>
      </c>
    </row>
    <row r="11" spans="2:11" x14ac:dyDescent="0.3">
      <c r="B11" s="64" t="s">
        <v>66</v>
      </c>
      <c r="E11" t="s">
        <v>64</v>
      </c>
      <c r="F11" t="s">
        <v>65</v>
      </c>
    </row>
    <row r="12" spans="2:11" x14ac:dyDescent="0.3">
      <c r="B12" s="64" t="s">
        <v>67</v>
      </c>
      <c r="E12" t="s">
        <v>64</v>
      </c>
      <c r="F12" t="s">
        <v>65</v>
      </c>
    </row>
    <row r="13" spans="2:11" x14ac:dyDescent="0.3">
      <c r="B13" s="64" t="s">
        <v>237</v>
      </c>
      <c r="F13" t="s">
        <v>233</v>
      </c>
      <c r="G13" s="64" t="s">
        <v>232</v>
      </c>
    </row>
    <row r="14" spans="2:11" x14ac:dyDescent="0.3">
      <c r="B14" s="64" t="s">
        <v>238</v>
      </c>
      <c r="F14"/>
    </row>
    <row r="15" spans="2:11" x14ac:dyDescent="0.3">
      <c r="B15" s="64" t="s">
        <v>241</v>
      </c>
      <c r="F15"/>
    </row>
    <row r="16" spans="2:11" x14ac:dyDescent="0.3">
      <c r="B16" s="64" t="s">
        <v>244</v>
      </c>
      <c r="E16" t="s">
        <v>242</v>
      </c>
      <c r="F16" t="s">
        <v>243</v>
      </c>
    </row>
    <row r="17" spans="2:6" x14ac:dyDescent="0.3">
      <c r="B17" s="64" t="s">
        <v>264</v>
      </c>
    </row>
    <row r="18" spans="2:6" x14ac:dyDescent="0.3">
      <c r="B18" s="64" t="s">
        <v>262</v>
      </c>
    </row>
    <row r="21" spans="2:6" x14ac:dyDescent="0.3">
      <c r="B21" s="142" t="s">
        <v>118</v>
      </c>
    </row>
    <row r="22" spans="2:6" x14ac:dyDescent="0.3">
      <c r="B22" s="64" t="s">
        <v>199</v>
      </c>
    </row>
    <row r="23" spans="2:6" x14ac:dyDescent="0.3">
      <c r="B23" s="64" t="s">
        <v>200</v>
      </c>
    </row>
    <row r="24" spans="2:6" x14ac:dyDescent="0.3">
      <c r="B24" s="64" t="s">
        <v>198</v>
      </c>
    </row>
    <row r="25" spans="2:6" x14ac:dyDescent="0.3">
      <c r="B25" s="64" t="s">
        <v>108</v>
      </c>
    </row>
    <row r="27" spans="2:6" x14ac:dyDescent="0.3">
      <c r="B27" s="142" t="s">
        <v>267</v>
      </c>
    </row>
    <row r="28" spans="2:6" x14ac:dyDescent="0.3">
      <c r="B28" s="64" t="s">
        <v>269</v>
      </c>
      <c r="C28" s="248"/>
      <c r="D28" s="248"/>
      <c r="E28" s="248"/>
      <c r="F28" s="248"/>
    </row>
    <row r="29" spans="2:6" x14ac:dyDescent="0.3">
      <c r="B29" s="64" t="s">
        <v>268</v>
      </c>
      <c r="C29" s="249"/>
      <c r="D29" s="249"/>
      <c r="E29" s="249"/>
      <c r="F29" s="2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AAEBD-D139-4E9E-8F98-B97912D5025A}">
  <dimension ref="A1:N35"/>
  <sheetViews>
    <sheetView zoomScale="104" zoomScaleNormal="104" workbookViewId="0">
      <selection activeCell="B18" sqref="B18"/>
    </sheetView>
  </sheetViews>
  <sheetFormatPr defaultRowHeight="14" x14ac:dyDescent="0.3"/>
  <cols>
    <col min="1" max="1" width="4.83203125" style="64" customWidth="1"/>
    <col min="2" max="2" width="7.25" style="64" customWidth="1"/>
    <col min="3" max="3" width="7.1640625" style="64" customWidth="1"/>
    <col min="4" max="4" width="6.1640625" style="84" customWidth="1"/>
    <col min="5" max="5" width="6.9140625" style="64" customWidth="1"/>
    <col min="6" max="6" width="7.25" style="64" customWidth="1"/>
    <col min="7" max="7" width="7.6640625" style="64" customWidth="1"/>
    <col min="8" max="8" width="8.5" style="64" customWidth="1"/>
    <col min="9" max="9" width="10.25" style="107" customWidth="1"/>
    <col min="10" max="10" width="9.08203125" style="64" customWidth="1"/>
    <col min="11" max="11" width="8.6640625" style="64" customWidth="1"/>
    <col min="12" max="12" width="6.83203125" style="64" customWidth="1"/>
    <col min="13" max="16384" width="8.6640625" style="64"/>
  </cols>
  <sheetData>
    <row r="1" spans="1:12" x14ac:dyDescent="0.3">
      <c r="A1" s="64" t="s">
        <v>112</v>
      </c>
    </row>
    <row r="2" spans="1:12" ht="18" x14ac:dyDescent="0.4">
      <c r="B2" s="66" t="s">
        <v>231</v>
      </c>
      <c r="C2" s="84"/>
      <c r="D2" s="64"/>
      <c r="H2" s="107"/>
      <c r="I2" s="64"/>
      <c r="J2" s="66" t="str">
        <f>'2 Opdrachten'!E8</f>
        <v>Kwamkwammers</v>
      </c>
    </row>
    <row r="3" spans="1:12" x14ac:dyDescent="0.3">
      <c r="B3" s="123"/>
      <c r="C3" s="124"/>
      <c r="D3" s="146" t="s">
        <v>206</v>
      </c>
      <c r="E3" s="128"/>
      <c r="F3" s="125" t="s">
        <v>16</v>
      </c>
      <c r="G3" s="125"/>
      <c r="H3" s="126"/>
      <c r="I3" s="128"/>
      <c r="J3" s="127">
        <v>0.3</v>
      </c>
      <c r="K3" s="146" t="s">
        <v>209</v>
      </c>
      <c r="L3" s="128"/>
    </row>
    <row r="4" spans="1:12" x14ac:dyDescent="0.3">
      <c r="B4" s="129"/>
      <c r="C4" s="130"/>
      <c r="D4" s="129" t="s">
        <v>207</v>
      </c>
      <c r="E4" s="163" t="s">
        <v>92</v>
      </c>
      <c r="F4" s="130" t="s">
        <v>211</v>
      </c>
      <c r="G4" s="131" t="s">
        <v>208</v>
      </c>
      <c r="H4" s="132" t="s">
        <v>124</v>
      </c>
      <c r="I4" s="133" t="s">
        <v>212</v>
      </c>
      <c r="J4" s="132" t="s">
        <v>93</v>
      </c>
      <c r="K4" s="164" t="s">
        <v>210</v>
      </c>
      <c r="L4" s="163" t="s">
        <v>211</v>
      </c>
    </row>
    <row r="5" spans="1:12" x14ac:dyDescent="0.3">
      <c r="B5" s="68" t="s">
        <v>213</v>
      </c>
      <c r="C5" s="108"/>
      <c r="D5" s="8">
        <v>0.2</v>
      </c>
      <c r="E5" s="87">
        <f>D5*E$11</f>
        <v>416</v>
      </c>
      <c r="F5" s="113">
        <f>H5/E$11</f>
        <v>31.25</v>
      </c>
      <c r="G5" s="212">
        <v>5000</v>
      </c>
      <c r="H5" s="114">
        <f>G5*13</f>
        <v>65000</v>
      </c>
      <c r="I5" s="115">
        <f>H5*D5</f>
        <v>13000</v>
      </c>
      <c r="J5" s="114">
        <f>J$3*I5</f>
        <v>3900</v>
      </c>
      <c r="K5" s="233">
        <f>J5+I5</f>
        <v>16900</v>
      </c>
      <c r="L5" s="221">
        <f>K5/E5</f>
        <v>40.625</v>
      </c>
    </row>
    <row r="6" spans="1:12" x14ac:dyDescent="0.3">
      <c r="B6" s="69" t="s">
        <v>17</v>
      </c>
      <c r="C6" s="84"/>
      <c r="D6" s="9">
        <v>1</v>
      </c>
      <c r="E6" s="90">
        <f>D6*E11</f>
        <v>2080</v>
      </c>
      <c r="F6" s="116">
        <f>H6/E$11</f>
        <v>18.75</v>
      </c>
      <c r="G6" s="213">
        <v>3000</v>
      </c>
      <c r="H6" s="211">
        <f>G6*13</f>
        <v>39000</v>
      </c>
      <c r="I6" s="117">
        <f>H6*D6</f>
        <v>39000</v>
      </c>
      <c r="J6" s="211">
        <f>J$3*I6</f>
        <v>11700</v>
      </c>
      <c r="K6" s="233">
        <f>J6+I6</f>
        <v>50700</v>
      </c>
      <c r="L6" s="221">
        <f>K6/E6</f>
        <v>24.375</v>
      </c>
    </row>
    <row r="7" spans="1:12" x14ac:dyDescent="0.3">
      <c r="B7" s="69" t="s">
        <v>115</v>
      </c>
      <c r="C7" s="84"/>
      <c r="D7" s="214">
        <f>ROUND(E7/E11,1)</f>
        <v>1</v>
      </c>
      <c r="E7" s="215">
        <v>2080</v>
      </c>
      <c r="F7" s="219">
        <v>15</v>
      </c>
      <c r="G7" s="118">
        <f>H7/13</f>
        <v>3920</v>
      </c>
      <c r="H7" s="211">
        <f>E7*F7*1.3+E7*5</f>
        <v>50960</v>
      </c>
      <c r="I7" s="117">
        <f>H7</f>
        <v>50960</v>
      </c>
      <c r="J7" s="211">
        <v>0</v>
      </c>
      <c r="K7" s="233">
        <f>I7</f>
        <v>50960</v>
      </c>
      <c r="L7" s="221">
        <f>H7/E7</f>
        <v>24.5</v>
      </c>
    </row>
    <row r="8" spans="1:12" x14ac:dyDescent="0.3">
      <c r="B8" s="72" t="s">
        <v>116</v>
      </c>
      <c r="C8" s="110"/>
      <c r="D8" s="216">
        <f>ROUND(E8/E11,1)</f>
        <v>0.1</v>
      </c>
      <c r="E8" s="217">
        <v>200</v>
      </c>
      <c r="F8" s="220">
        <v>7</v>
      </c>
      <c r="G8" s="121">
        <f>H8/13</f>
        <v>1120</v>
      </c>
      <c r="H8" s="119">
        <f>F8*E11</f>
        <v>14560</v>
      </c>
      <c r="I8" s="120">
        <f>H8*D8</f>
        <v>1456</v>
      </c>
      <c r="J8" s="119">
        <f>J$3*I8</f>
        <v>436.8</v>
      </c>
      <c r="K8" s="234">
        <f>J8+I8</f>
        <v>1892.8</v>
      </c>
      <c r="L8" s="222">
        <f>K8/E8</f>
        <v>9.4640000000000004</v>
      </c>
    </row>
    <row r="9" spans="1:12" x14ac:dyDescent="0.3">
      <c r="B9" s="122" t="s">
        <v>18</v>
      </c>
      <c r="C9" s="84"/>
      <c r="D9" s="218">
        <f>SUM(D5:D8)</f>
        <v>2.3000000000000003</v>
      </c>
      <c r="E9" s="223">
        <f>SUM(E5:E8)</f>
        <v>4776</v>
      </c>
      <c r="F9" s="64" t="s">
        <v>214</v>
      </c>
      <c r="G9" s="116"/>
      <c r="H9" s="116"/>
      <c r="I9" s="134">
        <f>SUM(I5:I8)</f>
        <v>104416</v>
      </c>
      <c r="J9" s="134">
        <f t="shared" ref="J9" si="0">SUM(J5:J8)</f>
        <v>16036.8</v>
      </c>
      <c r="K9" s="235">
        <f>SUM(K5:K8)</f>
        <v>120452.8</v>
      </c>
      <c r="L9" s="171" t="s">
        <v>151</v>
      </c>
    </row>
    <row r="10" spans="1:12" x14ac:dyDescent="0.3">
      <c r="F10" s="74"/>
      <c r="I10" s="134"/>
      <c r="J10" s="134"/>
      <c r="K10" s="173"/>
    </row>
    <row r="11" spans="1:12" x14ac:dyDescent="0.3">
      <c r="B11" s="64" t="s">
        <v>215</v>
      </c>
      <c r="E11" s="74">
        <f>'C Dir.kn arbeid'!E25</f>
        <v>2080</v>
      </c>
      <c r="F11" s="74"/>
      <c r="G11" s="68"/>
      <c r="H11" s="109"/>
      <c r="I11" s="109"/>
      <c r="J11" s="186" t="s">
        <v>91</v>
      </c>
      <c r="K11" s="191">
        <f>I9/E9</f>
        <v>21.862646566164155</v>
      </c>
    </row>
    <row r="12" spans="1:12" x14ac:dyDescent="0.3">
      <c r="C12" s="84"/>
      <c r="D12" s="64"/>
      <c r="G12" s="69"/>
      <c r="H12" s="107"/>
      <c r="I12" s="64"/>
      <c r="J12" s="67" t="s">
        <v>90</v>
      </c>
      <c r="K12" s="253">
        <f>K9/E9</f>
        <v>25.220435510887771</v>
      </c>
    </row>
    <row r="13" spans="1:12" x14ac:dyDescent="0.3">
      <c r="B13" s="122"/>
      <c r="G13" s="72"/>
      <c r="H13" s="225"/>
      <c r="I13" s="111"/>
      <c r="J13" s="112" t="s">
        <v>154</v>
      </c>
      <c r="K13" s="254">
        <f>(L6*E6+L7*E7+L8*E8)/SUM(E6:E8)</f>
        <v>23.750642201834864</v>
      </c>
    </row>
    <row r="14" spans="1:12" x14ac:dyDescent="0.3">
      <c r="B14" s="122"/>
      <c r="C14" s="84"/>
      <c r="D14" s="64"/>
      <c r="H14" s="107"/>
      <c r="I14" s="64"/>
    </row>
    <row r="15" spans="1:12" x14ac:dyDescent="0.3">
      <c r="B15" s="122"/>
      <c r="C15" s="84"/>
      <c r="D15" s="64"/>
      <c r="H15" s="107"/>
      <c r="I15" s="64"/>
    </row>
    <row r="16" spans="1:12" x14ac:dyDescent="0.3">
      <c r="B16" s="142" t="s">
        <v>216</v>
      </c>
      <c r="C16" s="84"/>
      <c r="D16" s="64"/>
      <c r="H16" s="107"/>
      <c r="I16" s="64"/>
    </row>
    <row r="17" spans="2:14" x14ac:dyDescent="0.3">
      <c r="B17" s="64" t="s">
        <v>273</v>
      </c>
      <c r="C17" s="84"/>
      <c r="D17" s="64"/>
      <c r="H17" s="107"/>
      <c r="I17" s="64"/>
    </row>
    <row r="18" spans="2:14" x14ac:dyDescent="0.3">
      <c r="B18" s="64" t="s">
        <v>119</v>
      </c>
      <c r="C18" s="84"/>
      <c r="D18" s="64"/>
      <c r="H18" s="107"/>
      <c r="I18" s="64"/>
    </row>
    <row r="19" spans="2:14" x14ac:dyDescent="0.3">
      <c r="B19" s="64" t="s">
        <v>117</v>
      </c>
      <c r="C19" s="84"/>
      <c r="D19" s="64"/>
      <c r="H19" s="107"/>
      <c r="I19" s="64"/>
    </row>
    <row r="20" spans="2:14" x14ac:dyDescent="0.3">
      <c r="B20" s="64" t="s">
        <v>217</v>
      </c>
      <c r="C20" s="84"/>
      <c r="D20" s="64"/>
      <c r="H20" s="107"/>
      <c r="I20" s="64"/>
    </row>
    <row r="21" spans="2:14" x14ac:dyDescent="0.3">
      <c r="B21" s="68" t="s">
        <v>225</v>
      </c>
      <c r="C21" s="228" t="s">
        <v>227</v>
      </c>
      <c r="D21" s="109"/>
      <c r="E21" s="109"/>
      <c r="F21" s="224"/>
      <c r="G21" s="109" t="s">
        <v>230</v>
      </c>
      <c r="H21" s="109"/>
      <c r="I21" s="227" t="s">
        <v>239</v>
      </c>
      <c r="J21" s="109"/>
      <c r="K21" s="224"/>
      <c r="L21" s="109" t="s">
        <v>224</v>
      </c>
      <c r="M21" s="109"/>
      <c r="N21" s="224"/>
    </row>
    <row r="22" spans="2:14" x14ac:dyDescent="0.3">
      <c r="B22" s="72" t="s">
        <v>226</v>
      </c>
      <c r="C22" s="229" t="s">
        <v>229</v>
      </c>
      <c r="D22" s="112" t="s">
        <v>228</v>
      </c>
      <c r="E22" s="230" t="s">
        <v>220</v>
      </c>
      <c r="F22" s="231" t="s">
        <v>223</v>
      </c>
      <c r="G22" s="112" t="s">
        <v>219</v>
      </c>
      <c r="H22" s="112" t="s">
        <v>218</v>
      </c>
      <c r="I22" s="232" t="s">
        <v>222</v>
      </c>
      <c r="J22" s="112" t="s">
        <v>220</v>
      </c>
      <c r="K22" s="231" t="s">
        <v>223</v>
      </c>
      <c r="L22" s="112" t="s">
        <v>222</v>
      </c>
      <c r="M22" s="112" t="s">
        <v>220</v>
      </c>
      <c r="N22" s="231" t="s">
        <v>221</v>
      </c>
    </row>
    <row r="23" spans="2:14" x14ac:dyDescent="0.3">
      <c r="B23" s="69">
        <v>15</v>
      </c>
      <c r="C23" s="192">
        <f t="shared" ref="C23:C29" si="1">D23*5/38</f>
        <v>3.5236842105263158</v>
      </c>
      <c r="D23" s="107">
        <v>26.78</v>
      </c>
      <c r="E23" s="74">
        <v>580</v>
      </c>
      <c r="F23" s="143">
        <f>E23*13</f>
        <v>7540</v>
      </c>
      <c r="G23" s="107">
        <f t="shared" ref="G23:G29" si="2">H23/E23*C23</f>
        <v>3.5236842105263158</v>
      </c>
      <c r="H23" s="74">
        <f>E23</f>
        <v>580</v>
      </c>
      <c r="I23" s="192">
        <f>C23*1.1</f>
        <v>3.8760526315789479</v>
      </c>
      <c r="J23" s="74">
        <f>E23*1.1</f>
        <v>638</v>
      </c>
      <c r="K23" s="143">
        <f>J23*13</f>
        <v>8294</v>
      </c>
      <c r="L23" s="227">
        <f>I23+5</f>
        <v>8.876052631578947</v>
      </c>
      <c r="M23" s="250">
        <f>L23*E$11/13</f>
        <v>1420.1684210526316</v>
      </c>
      <c r="N23" s="251">
        <f>M23*12</f>
        <v>17042.021052631579</v>
      </c>
    </row>
    <row r="24" spans="2:14" x14ac:dyDescent="0.3">
      <c r="B24" s="69">
        <v>16</v>
      </c>
      <c r="C24" s="192">
        <f t="shared" si="1"/>
        <v>4.0526315789473681</v>
      </c>
      <c r="D24" s="107">
        <v>30.8</v>
      </c>
      <c r="E24" s="74">
        <v>667</v>
      </c>
      <c r="F24" s="143">
        <f t="shared" ref="F24:F29" si="3">E24*13</f>
        <v>8671</v>
      </c>
      <c r="G24" s="107">
        <f t="shared" si="2"/>
        <v>4.0526315789473681</v>
      </c>
      <c r="H24" s="74">
        <f>E24</f>
        <v>667</v>
      </c>
      <c r="I24" s="192">
        <f>C24*1.1</f>
        <v>4.4578947368421051</v>
      </c>
      <c r="J24" s="74">
        <f>E24*1.1</f>
        <v>733.7</v>
      </c>
      <c r="K24" s="143">
        <f t="shared" ref="K24:K29" si="4">J24*13</f>
        <v>9538.1</v>
      </c>
      <c r="L24" s="192">
        <f t="shared" ref="L24:L29" si="5">I24+5</f>
        <v>9.4578947368421051</v>
      </c>
      <c r="M24" s="252">
        <f t="shared" ref="M24:M29" si="6">L24*E$11/13</f>
        <v>1513.2631578947369</v>
      </c>
      <c r="N24" s="143">
        <f t="shared" ref="N24:N29" si="7">M24*12</f>
        <v>18159.157894736843</v>
      </c>
    </row>
    <row r="25" spans="2:14" x14ac:dyDescent="0.3">
      <c r="B25" s="69">
        <v>17</v>
      </c>
      <c r="C25" s="192">
        <f t="shared" si="1"/>
        <v>4.6407894736842108</v>
      </c>
      <c r="D25" s="107">
        <v>35.270000000000003</v>
      </c>
      <c r="E25" s="74">
        <v>764</v>
      </c>
      <c r="F25" s="143">
        <f t="shared" si="3"/>
        <v>9932</v>
      </c>
      <c r="G25" s="107">
        <f t="shared" si="2"/>
        <v>4.6407894736842108</v>
      </c>
      <c r="H25" s="74">
        <f>E25</f>
        <v>764</v>
      </c>
      <c r="I25" s="192">
        <f>C25*1.1</f>
        <v>5.1048684210526325</v>
      </c>
      <c r="J25" s="74">
        <f>E25*1.1</f>
        <v>840.40000000000009</v>
      </c>
      <c r="K25" s="143">
        <f t="shared" si="4"/>
        <v>10925.2</v>
      </c>
      <c r="L25" s="192">
        <f t="shared" si="5"/>
        <v>10.104868421052632</v>
      </c>
      <c r="M25" s="252">
        <f t="shared" si="6"/>
        <v>1616.7789473684211</v>
      </c>
      <c r="N25" s="143">
        <f t="shared" si="7"/>
        <v>19401.347368421055</v>
      </c>
    </row>
    <row r="26" spans="2:14" x14ac:dyDescent="0.3">
      <c r="B26" s="69">
        <v>18</v>
      </c>
      <c r="C26" s="192">
        <f t="shared" si="1"/>
        <v>5.8736842105263154</v>
      </c>
      <c r="D26" s="107">
        <v>44.64</v>
      </c>
      <c r="E26" s="74">
        <v>967</v>
      </c>
      <c r="F26" s="143">
        <f t="shared" si="3"/>
        <v>12571</v>
      </c>
      <c r="G26" s="107">
        <f t="shared" si="2"/>
        <v>5.8372394274206716</v>
      </c>
      <c r="H26" s="74">
        <v>961</v>
      </c>
      <c r="I26" s="192">
        <f>C26*1.2</f>
        <v>7.0484210526315785</v>
      </c>
      <c r="J26" s="74">
        <f>E26*1.2</f>
        <v>1160.3999999999999</v>
      </c>
      <c r="K26" s="143">
        <f t="shared" si="4"/>
        <v>15085.199999999999</v>
      </c>
      <c r="L26" s="192">
        <f t="shared" si="5"/>
        <v>12.048421052631578</v>
      </c>
      <c r="M26" s="252">
        <f t="shared" si="6"/>
        <v>1927.7473684210527</v>
      </c>
      <c r="N26" s="143">
        <f t="shared" si="7"/>
        <v>23132.968421052632</v>
      </c>
    </row>
    <row r="27" spans="2:14" x14ac:dyDescent="0.3">
      <c r="B27" s="69">
        <v>19</v>
      </c>
      <c r="C27" s="192">
        <f t="shared" si="1"/>
        <v>7.0486842105263161</v>
      </c>
      <c r="D27" s="107">
        <v>53.57</v>
      </c>
      <c r="E27" s="74">
        <v>1160</v>
      </c>
      <c r="F27" s="143">
        <f t="shared" si="3"/>
        <v>15080</v>
      </c>
      <c r="G27" s="107">
        <f t="shared" si="2"/>
        <v>6.9271551724137934</v>
      </c>
      <c r="H27" s="74">
        <v>1140</v>
      </c>
      <c r="I27" s="192">
        <f>C27*1.2</f>
        <v>8.4584210526315786</v>
      </c>
      <c r="J27" s="74">
        <f>E27*1.2</f>
        <v>1392</v>
      </c>
      <c r="K27" s="143">
        <f t="shared" si="4"/>
        <v>18096</v>
      </c>
      <c r="L27" s="192">
        <f t="shared" si="5"/>
        <v>13.458421052631579</v>
      </c>
      <c r="M27" s="252">
        <f t="shared" si="6"/>
        <v>2153.3473684210526</v>
      </c>
      <c r="N27" s="143">
        <f t="shared" si="7"/>
        <v>25840.168421052629</v>
      </c>
    </row>
    <row r="28" spans="2:14" x14ac:dyDescent="0.3">
      <c r="B28" s="69">
        <v>20</v>
      </c>
      <c r="C28" s="192">
        <f t="shared" si="1"/>
        <v>9.3973684210526329</v>
      </c>
      <c r="D28" s="107">
        <v>71.42</v>
      </c>
      <c r="E28" s="74">
        <v>1547</v>
      </c>
      <c r="F28" s="143">
        <f t="shared" si="3"/>
        <v>20111</v>
      </c>
      <c r="G28" s="107">
        <f t="shared" si="2"/>
        <v>9.3973684210526329</v>
      </c>
      <c r="H28" s="74">
        <v>1547</v>
      </c>
      <c r="I28" s="192">
        <f>C28*1.2</f>
        <v>11.276842105263158</v>
      </c>
      <c r="J28" s="74">
        <f>E28*1.2</f>
        <v>1856.3999999999999</v>
      </c>
      <c r="K28" s="143">
        <f t="shared" si="4"/>
        <v>24133.199999999997</v>
      </c>
      <c r="L28" s="192">
        <f t="shared" si="5"/>
        <v>16.276842105263157</v>
      </c>
      <c r="M28" s="252">
        <f t="shared" si="6"/>
        <v>2604.2947368421051</v>
      </c>
      <c r="N28" s="143">
        <f t="shared" si="7"/>
        <v>31251.536842105263</v>
      </c>
    </row>
    <row r="29" spans="2:14" x14ac:dyDescent="0.3">
      <c r="B29" s="72">
        <v>21</v>
      </c>
      <c r="C29" s="194">
        <f t="shared" si="1"/>
        <v>11.747368421052631</v>
      </c>
      <c r="D29" s="225">
        <v>89.28</v>
      </c>
      <c r="E29" s="226">
        <v>1934</v>
      </c>
      <c r="F29" s="144">
        <f t="shared" si="3"/>
        <v>25142</v>
      </c>
      <c r="G29" s="225">
        <f t="shared" si="2"/>
        <v>11.279660371196863</v>
      </c>
      <c r="H29" s="226">
        <v>1857</v>
      </c>
      <c r="I29" s="194">
        <f>C29*1.3</f>
        <v>15.27157894736842</v>
      </c>
      <c r="J29" s="226">
        <f>E29*1.3</f>
        <v>2514.2000000000003</v>
      </c>
      <c r="K29" s="144">
        <f t="shared" si="4"/>
        <v>32684.600000000002</v>
      </c>
      <c r="L29" s="194">
        <f t="shared" si="5"/>
        <v>20.271578947368418</v>
      </c>
      <c r="M29" s="226">
        <f t="shared" si="6"/>
        <v>3243.4526315789471</v>
      </c>
      <c r="N29" s="144">
        <f t="shared" si="7"/>
        <v>38921.431578947362</v>
      </c>
    </row>
    <row r="30" spans="2:14" x14ac:dyDescent="0.3">
      <c r="B30" s="122"/>
      <c r="C30" s="84"/>
      <c r="D30" s="64"/>
      <c r="H30" s="107"/>
      <c r="I30" s="64"/>
    </row>
    <row r="31" spans="2:14" x14ac:dyDescent="0.3">
      <c r="B31" s="142" t="s">
        <v>267</v>
      </c>
      <c r="D31" s="64"/>
      <c r="I31" s="64"/>
    </row>
    <row r="32" spans="2:14" x14ac:dyDescent="0.3">
      <c r="B32" s="64" t="s">
        <v>269</v>
      </c>
      <c r="C32" s="255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</row>
    <row r="33" spans="2:14" x14ac:dyDescent="0.3">
      <c r="B33" s="64" t="s">
        <v>268</v>
      </c>
      <c r="C33" s="25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</row>
    <row r="34" spans="2:14" x14ac:dyDescent="0.3">
      <c r="B34" s="122"/>
      <c r="I34" s="64"/>
    </row>
    <row r="35" spans="2:14" x14ac:dyDescent="0.3">
      <c r="B35" s="12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2D5D-CEBD-4E5F-983C-FD678AD969B0}">
  <dimension ref="B2:I19"/>
  <sheetViews>
    <sheetView zoomScaleNormal="100" workbookViewId="0">
      <selection activeCell="B27" sqref="B27"/>
    </sheetView>
  </sheetViews>
  <sheetFormatPr defaultRowHeight="14" x14ac:dyDescent="0.3"/>
  <cols>
    <col min="1" max="1" width="2.58203125" style="64" customWidth="1"/>
    <col min="2" max="2" width="22" style="64" customWidth="1"/>
    <col min="3" max="3" width="10.25" style="64" customWidth="1"/>
    <col min="4" max="4" width="8.58203125" style="65" customWidth="1"/>
    <col min="5" max="5" width="10.25" style="64" customWidth="1"/>
    <col min="6" max="6" width="13.58203125" style="64" customWidth="1"/>
    <col min="7" max="16384" width="8.6640625" style="64"/>
  </cols>
  <sheetData>
    <row r="2" spans="2:6" ht="18" x14ac:dyDescent="0.4">
      <c r="B2" s="66" t="s">
        <v>247</v>
      </c>
      <c r="C2" s="74" t="str">
        <f>'2 Opdrachten'!E8</f>
        <v>Kwamkwammers</v>
      </c>
      <c r="D2" s="64"/>
    </row>
    <row r="3" spans="2:6" x14ac:dyDescent="0.3">
      <c r="B3" s="63" t="s">
        <v>197</v>
      </c>
      <c r="C3" s="147" t="s">
        <v>69</v>
      </c>
      <c r="D3" s="149" t="s">
        <v>68</v>
      </c>
      <c r="E3" s="150" t="s">
        <v>71</v>
      </c>
      <c r="F3" s="150" t="s">
        <v>135</v>
      </c>
    </row>
    <row r="4" spans="2:6" x14ac:dyDescent="0.3">
      <c r="B4" s="207" t="str">
        <f>'2 Opdrachten'!E8</f>
        <v>Kwamkwammers</v>
      </c>
      <c r="C4" s="11">
        <v>100000</v>
      </c>
      <c r="D4" s="236" t="str">
        <f>'2 Opdrachten'!F13</f>
        <v>ton</v>
      </c>
      <c r="E4" s="208">
        <v>5</v>
      </c>
      <c r="F4" s="209">
        <f t="shared" ref="F4" si="0">C4*E4</f>
        <v>500000</v>
      </c>
    </row>
    <row r="5" spans="2:6" x14ac:dyDescent="0.3">
      <c r="C5" s="183">
        <f>SUM(C4:C4)</f>
        <v>100000</v>
      </c>
      <c r="D5" s="184" t="str">
        <f>D4</f>
        <v>ton</v>
      </c>
      <c r="E5" s="185" t="s">
        <v>153</v>
      </c>
      <c r="F5" s="182">
        <f>SUM(F4:F4)</f>
        <v>500000</v>
      </c>
    </row>
    <row r="6" spans="2:6" x14ac:dyDescent="0.3">
      <c r="C6" s="74"/>
      <c r="D6" s="190"/>
      <c r="E6" s="185"/>
      <c r="F6" s="182"/>
    </row>
    <row r="7" spans="2:6" x14ac:dyDescent="0.3">
      <c r="E7" s="67" t="s">
        <v>26</v>
      </c>
      <c r="F7" s="75">
        <f>F5/C5</f>
        <v>5</v>
      </c>
    </row>
    <row r="8" spans="2:6" x14ac:dyDescent="0.3">
      <c r="D8" s="76"/>
      <c r="E8" s="74"/>
    </row>
    <row r="9" spans="2:6" x14ac:dyDescent="0.3">
      <c r="D9" s="76"/>
      <c r="E9" s="74"/>
    </row>
    <row r="10" spans="2:6" x14ac:dyDescent="0.3">
      <c r="C10" s="75"/>
      <c r="D10" s="76"/>
      <c r="E10" s="74"/>
    </row>
    <row r="11" spans="2:6" x14ac:dyDescent="0.3">
      <c r="B11" s="142" t="s">
        <v>118</v>
      </c>
    </row>
    <row r="12" spans="2:6" x14ac:dyDescent="0.3">
      <c r="B12" s="64" t="s">
        <v>234</v>
      </c>
    </row>
    <row r="13" spans="2:6" x14ac:dyDescent="0.3">
      <c r="B13" s="64" t="s">
        <v>235</v>
      </c>
    </row>
    <row r="14" spans="2:6" x14ac:dyDescent="0.3">
      <c r="B14" s="64" t="s">
        <v>236</v>
      </c>
    </row>
    <row r="17" spans="2:9" x14ac:dyDescent="0.3">
      <c r="B17" s="142" t="s">
        <v>267</v>
      </c>
      <c r="D17" s="64"/>
    </row>
    <row r="18" spans="2:9" x14ac:dyDescent="0.3">
      <c r="B18" s="64" t="s">
        <v>269</v>
      </c>
      <c r="C18" s="248"/>
      <c r="D18" s="248"/>
      <c r="E18" s="248"/>
      <c r="F18" s="248"/>
      <c r="G18" s="248"/>
      <c r="H18" s="248"/>
      <c r="I18" s="248"/>
    </row>
    <row r="19" spans="2:9" x14ac:dyDescent="0.3">
      <c r="B19" s="64" t="s">
        <v>268</v>
      </c>
      <c r="C19" s="249"/>
      <c r="D19" s="249"/>
      <c r="E19" s="249"/>
      <c r="F19" s="249"/>
      <c r="G19" s="249"/>
      <c r="H19" s="249"/>
      <c r="I19" s="24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99362-10C1-4EBE-BB11-AF467BB77DBF}">
  <dimension ref="B2:K37"/>
  <sheetViews>
    <sheetView topLeftCell="A9" zoomScaleNormal="100" workbookViewId="0">
      <selection activeCell="B27" sqref="B27"/>
    </sheetView>
  </sheetViews>
  <sheetFormatPr defaultRowHeight="14" x14ac:dyDescent="0.3"/>
  <cols>
    <col min="1" max="1" width="2.75" style="64" customWidth="1"/>
    <col min="2" max="2" width="23.4140625" style="64" customWidth="1"/>
    <col min="3" max="5" width="8.58203125" style="64" customWidth="1"/>
    <col min="6" max="6" width="13.25" style="64" customWidth="1"/>
    <col min="7" max="16384" width="8.6640625" style="64"/>
  </cols>
  <sheetData>
    <row r="2" spans="2:8" ht="18" x14ac:dyDescent="0.4">
      <c r="B2" s="66" t="s">
        <v>178</v>
      </c>
    </row>
    <row r="3" spans="2:8" x14ac:dyDescent="0.3">
      <c r="B3" s="79" t="s">
        <v>70</v>
      </c>
      <c r="C3" s="80" t="s">
        <v>69</v>
      </c>
      <c r="D3" s="81" t="s">
        <v>68</v>
      </c>
      <c r="E3" s="82" t="s">
        <v>71</v>
      </c>
      <c r="F3" s="82" t="s">
        <v>146</v>
      </c>
    </row>
    <row r="4" spans="2:8" x14ac:dyDescent="0.3">
      <c r="B4" s="9" t="s">
        <v>0</v>
      </c>
      <c r="C4" s="12">
        <v>110000</v>
      </c>
      <c r="D4" s="15" t="s">
        <v>174</v>
      </c>
      <c r="E4" s="13">
        <v>0.1</v>
      </c>
      <c r="F4" s="180">
        <f t="shared" ref="F4:F24" si="0">C4*E4</f>
        <v>11000</v>
      </c>
      <c r="H4" s="64" t="s">
        <v>111</v>
      </c>
    </row>
    <row r="5" spans="2:8" x14ac:dyDescent="0.3">
      <c r="B5" s="9" t="s">
        <v>1</v>
      </c>
      <c r="C5" s="12">
        <v>11000</v>
      </c>
      <c r="D5" s="16"/>
      <c r="E5" s="13">
        <v>0.05</v>
      </c>
      <c r="F5" s="180">
        <f t="shared" si="0"/>
        <v>550</v>
      </c>
    </row>
    <row r="6" spans="2:8" x14ac:dyDescent="0.3">
      <c r="B6" s="9" t="s">
        <v>179</v>
      </c>
      <c r="C6" s="12"/>
      <c r="D6" s="16"/>
      <c r="E6" s="13"/>
      <c r="F6" s="180">
        <f t="shared" si="0"/>
        <v>0</v>
      </c>
    </row>
    <row r="7" spans="2:8" x14ac:dyDescent="0.3">
      <c r="B7" s="9" t="s">
        <v>2</v>
      </c>
      <c r="C7" s="12"/>
      <c r="D7" s="16"/>
      <c r="E7" s="13"/>
      <c r="F7" s="180">
        <f t="shared" si="0"/>
        <v>0</v>
      </c>
    </row>
    <row r="8" spans="2:8" x14ac:dyDescent="0.3">
      <c r="B8" s="9" t="s">
        <v>180</v>
      </c>
      <c r="C8" s="12"/>
      <c r="D8" s="16"/>
      <c r="E8" s="13"/>
      <c r="F8" s="180">
        <f t="shared" si="0"/>
        <v>0</v>
      </c>
    </row>
    <row r="9" spans="2:8" x14ac:dyDescent="0.3">
      <c r="B9" s="9" t="s">
        <v>181</v>
      </c>
      <c r="C9" s="12"/>
      <c r="D9" s="16"/>
      <c r="E9" s="13"/>
      <c r="F9" s="180">
        <f t="shared" si="0"/>
        <v>0</v>
      </c>
    </row>
    <row r="10" spans="2:8" x14ac:dyDescent="0.3">
      <c r="B10" s="9" t="s">
        <v>182</v>
      </c>
      <c r="C10" s="12"/>
      <c r="D10" s="16"/>
      <c r="E10" s="13"/>
      <c r="F10" s="180">
        <f t="shared" si="0"/>
        <v>0</v>
      </c>
    </row>
    <row r="11" spans="2:8" x14ac:dyDescent="0.3">
      <c r="B11" s="9" t="s">
        <v>183</v>
      </c>
      <c r="C11" s="12"/>
      <c r="D11" s="16"/>
      <c r="E11" s="13"/>
      <c r="F11" s="180">
        <f t="shared" si="0"/>
        <v>0</v>
      </c>
    </row>
    <row r="12" spans="2:8" x14ac:dyDescent="0.3">
      <c r="B12" s="9" t="s">
        <v>184</v>
      </c>
      <c r="C12" s="12"/>
      <c r="D12" s="16"/>
      <c r="E12" s="13"/>
      <c r="F12" s="180">
        <f t="shared" si="0"/>
        <v>0</v>
      </c>
    </row>
    <row r="13" spans="2:8" x14ac:dyDescent="0.3">
      <c r="B13" s="9" t="s">
        <v>185</v>
      </c>
      <c r="C13" s="12"/>
      <c r="D13" s="16"/>
      <c r="E13" s="13"/>
      <c r="F13" s="180">
        <f t="shared" si="0"/>
        <v>0</v>
      </c>
    </row>
    <row r="14" spans="2:8" x14ac:dyDescent="0.3">
      <c r="B14" s="9" t="s">
        <v>186</v>
      </c>
      <c r="C14" s="12"/>
      <c r="D14" s="16"/>
      <c r="E14" s="13"/>
      <c r="F14" s="180">
        <f t="shared" si="0"/>
        <v>0</v>
      </c>
    </row>
    <row r="15" spans="2:8" x14ac:dyDescent="0.3">
      <c r="B15" s="9" t="s">
        <v>187</v>
      </c>
      <c r="C15" s="12"/>
      <c r="D15" s="16"/>
      <c r="E15" s="13"/>
      <c r="F15" s="180">
        <f t="shared" si="0"/>
        <v>0</v>
      </c>
    </row>
    <row r="16" spans="2:8" x14ac:dyDescent="0.3">
      <c r="B16" s="9" t="s">
        <v>188</v>
      </c>
      <c r="C16" s="12"/>
      <c r="D16" s="16"/>
      <c r="E16" s="13"/>
      <c r="F16" s="180">
        <f t="shared" si="0"/>
        <v>0</v>
      </c>
    </row>
    <row r="17" spans="2:6" x14ac:dyDescent="0.3">
      <c r="B17" s="9" t="s">
        <v>189</v>
      </c>
      <c r="C17" s="12"/>
      <c r="D17" s="16"/>
      <c r="E17" s="13"/>
      <c r="F17" s="180">
        <f t="shared" si="0"/>
        <v>0</v>
      </c>
    </row>
    <row r="18" spans="2:6" x14ac:dyDescent="0.3">
      <c r="B18" s="9" t="s">
        <v>190</v>
      </c>
      <c r="C18" s="12"/>
      <c r="D18" s="16"/>
      <c r="E18" s="13"/>
      <c r="F18" s="180">
        <f t="shared" si="0"/>
        <v>0</v>
      </c>
    </row>
    <row r="19" spans="2:6" x14ac:dyDescent="0.3">
      <c r="B19" s="9" t="s">
        <v>191</v>
      </c>
      <c r="C19" s="12"/>
      <c r="D19" s="16"/>
      <c r="E19" s="13"/>
      <c r="F19" s="180">
        <f t="shared" si="0"/>
        <v>0</v>
      </c>
    </row>
    <row r="20" spans="2:6" x14ac:dyDescent="0.3">
      <c r="B20" s="9" t="s">
        <v>192</v>
      </c>
      <c r="C20" s="12"/>
      <c r="D20" s="16"/>
      <c r="E20" s="13"/>
      <c r="F20" s="180">
        <f t="shared" si="0"/>
        <v>0</v>
      </c>
    </row>
    <row r="21" spans="2:6" x14ac:dyDescent="0.3">
      <c r="B21" s="9" t="s">
        <v>193</v>
      </c>
      <c r="C21" s="12"/>
      <c r="D21" s="16"/>
      <c r="E21" s="13"/>
      <c r="F21" s="180">
        <f t="shared" si="0"/>
        <v>0</v>
      </c>
    </row>
    <row r="22" spans="2:6" x14ac:dyDescent="0.3">
      <c r="B22" s="9" t="s">
        <v>3</v>
      </c>
      <c r="C22" s="12"/>
      <c r="D22" s="16"/>
      <c r="E22" s="13"/>
      <c r="F22" s="180">
        <f t="shared" si="0"/>
        <v>0</v>
      </c>
    </row>
    <row r="23" spans="2:6" x14ac:dyDescent="0.3">
      <c r="B23" s="69" t="s">
        <v>72</v>
      </c>
      <c r="C23" s="70">
        <f>'A. Opbrengsten'!F5</f>
        <v>500000</v>
      </c>
      <c r="D23" s="77" t="s">
        <v>99</v>
      </c>
      <c r="E23" s="71">
        <v>0.06</v>
      </c>
      <c r="F23" s="180">
        <f t="shared" si="0"/>
        <v>30000</v>
      </c>
    </row>
    <row r="24" spans="2:6" x14ac:dyDescent="0.3">
      <c r="B24" s="72" t="s">
        <v>3</v>
      </c>
      <c r="C24" s="237">
        <f>F4+F6+F7+F10+F11+F5+F12+F13+F14+F15+F16+F17+F18+F19+F20+F21+F22</f>
        <v>11550</v>
      </c>
      <c r="D24" s="78" t="s">
        <v>99</v>
      </c>
      <c r="E24" s="73">
        <v>0.01</v>
      </c>
      <c r="F24" s="181">
        <f t="shared" si="0"/>
        <v>115.5</v>
      </c>
    </row>
    <row r="25" spans="2:6" x14ac:dyDescent="0.3">
      <c r="E25" s="67" t="s">
        <v>249</v>
      </c>
      <c r="F25" s="182">
        <f>SUM(F4:F24)</f>
        <v>41665.5</v>
      </c>
    </row>
    <row r="26" spans="2:6" x14ac:dyDescent="0.3">
      <c r="C26" s="68"/>
      <c r="D26" s="109"/>
      <c r="E26" s="186" t="s">
        <v>148</v>
      </c>
      <c r="F26" s="187">
        <f>F25/'A. Opbrengsten'!C5</f>
        <v>0.416655</v>
      </c>
    </row>
    <row r="27" spans="2:6" x14ac:dyDescent="0.3">
      <c r="C27" s="69"/>
      <c r="E27" s="67" t="s">
        <v>149</v>
      </c>
      <c r="F27" s="188">
        <f>F25/'E DPM-Gebouwen'!C10</f>
        <v>0.37877727272727274</v>
      </c>
    </row>
    <row r="28" spans="2:6" x14ac:dyDescent="0.3">
      <c r="C28" s="72"/>
      <c r="D28" s="111"/>
      <c r="E28" s="112" t="s">
        <v>150</v>
      </c>
      <c r="F28" s="189">
        <f>F25/'D DPM-Grond'!C10</f>
        <v>3.4721250000000001</v>
      </c>
    </row>
    <row r="30" spans="2:6" x14ac:dyDescent="0.3">
      <c r="B30" s="142" t="s">
        <v>118</v>
      </c>
    </row>
    <row r="31" spans="2:6" x14ac:dyDescent="0.3">
      <c r="B31" s="64" t="s">
        <v>113</v>
      </c>
    </row>
    <row r="32" spans="2:6" x14ac:dyDescent="0.3">
      <c r="B32" s="64" t="s">
        <v>145</v>
      </c>
    </row>
    <row r="33" spans="2:11" x14ac:dyDescent="0.3">
      <c r="B33" s="205" t="s">
        <v>175</v>
      </c>
    </row>
    <row r="35" spans="2:11" x14ac:dyDescent="0.3">
      <c r="B35" s="142" t="s">
        <v>267</v>
      </c>
    </row>
    <row r="36" spans="2:11" x14ac:dyDescent="0.3">
      <c r="B36" s="64" t="s">
        <v>269</v>
      </c>
      <c r="C36" s="248"/>
      <c r="D36" s="248"/>
      <c r="E36" s="248"/>
      <c r="F36" s="248"/>
      <c r="G36" s="248"/>
      <c r="H36" s="248"/>
      <c r="I36" s="248"/>
      <c r="J36" s="248"/>
      <c r="K36" s="248"/>
    </row>
    <row r="37" spans="2:11" x14ac:dyDescent="0.3">
      <c r="B37" s="64" t="s">
        <v>268</v>
      </c>
      <c r="C37" s="249"/>
      <c r="D37" s="249"/>
      <c r="E37" s="249"/>
      <c r="F37" s="249"/>
      <c r="G37" s="249"/>
      <c r="H37" s="249"/>
      <c r="I37" s="249"/>
      <c r="J37" s="249"/>
      <c r="K37" s="249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BAEF7-39F3-40A0-B9F8-E19274C24033}">
  <dimension ref="A1:O40"/>
  <sheetViews>
    <sheetView zoomScaleNormal="100" workbookViewId="0">
      <selection activeCell="B27" sqref="B27"/>
    </sheetView>
  </sheetViews>
  <sheetFormatPr defaultRowHeight="14" x14ac:dyDescent="0.3"/>
  <cols>
    <col min="1" max="1" width="2.5" style="64" customWidth="1"/>
    <col min="2" max="2" width="28.58203125" style="64" customWidth="1"/>
    <col min="3" max="5" width="8.58203125" style="64" customWidth="1"/>
    <col min="6" max="6" width="9.9140625" style="64" customWidth="1"/>
    <col min="7" max="7" width="10.08203125" style="64" customWidth="1"/>
    <col min="8" max="8" width="11.6640625" style="64" bestFit="1" customWidth="1"/>
    <col min="9" max="9" width="10.4140625" style="64" bestFit="1" customWidth="1"/>
    <col min="10" max="10" width="8.6640625" style="64"/>
    <col min="11" max="11" width="17.5" style="64" bestFit="1" customWidth="1"/>
    <col min="12" max="12" width="8.6640625" style="64"/>
    <col min="13" max="13" width="9.33203125" style="74" bestFit="1" customWidth="1"/>
    <col min="14" max="14" width="8.6640625" style="64"/>
    <col min="15" max="15" width="15.25" style="84" customWidth="1"/>
    <col min="16" max="16384" width="8.6640625" style="64"/>
  </cols>
  <sheetData>
    <row r="1" spans="1:14" x14ac:dyDescent="0.3">
      <c r="A1" s="64" t="s">
        <v>112</v>
      </c>
      <c r="C1" s="64" t="s">
        <v>176</v>
      </c>
      <c r="D1" s="64" t="s">
        <v>176</v>
      </c>
      <c r="E1" s="64" t="s">
        <v>176</v>
      </c>
      <c r="F1" s="64" t="s">
        <v>177</v>
      </c>
      <c r="G1" s="64" t="s">
        <v>177</v>
      </c>
      <c r="H1" s="64" t="s">
        <v>177</v>
      </c>
    </row>
    <row r="3" spans="1:14" ht="18" x14ac:dyDescent="0.4">
      <c r="B3" s="66" t="s">
        <v>261</v>
      </c>
      <c r="F3" s="74" t="str">
        <f>'A. Opbrengsten'!B4</f>
        <v>Kwamkwammers</v>
      </c>
    </row>
    <row r="4" spans="1:14" x14ac:dyDescent="0.3">
      <c r="B4" s="103" t="s">
        <v>80</v>
      </c>
      <c r="C4" s="104" t="s">
        <v>74</v>
      </c>
      <c r="D4" s="104" t="s">
        <v>114</v>
      </c>
      <c r="E4" s="105" t="s">
        <v>84</v>
      </c>
      <c r="F4" s="106" t="s">
        <v>77</v>
      </c>
      <c r="G4" s="106" t="s">
        <v>82</v>
      </c>
      <c r="H4" s="106" t="s">
        <v>83</v>
      </c>
      <c r="M4" s="64"/>
      <c r="N4" s="86"/>
    </row>
    <row r="5" spans="1:14" x14ac:dyDescent="0.3">
      <c r="B5" s="8" t="s">
        <v>27</v>
      </c>
      <c r="C5" s="11">
        <v>1030</v>
      </c>
      <c r="D5" s="8" t="s">
        <v>76</v>
      </c>
      <c r="E5" s="238">
        <f>1/60</f>
        <v>1.6666666666666666E-2</v>
      </c>
      <c r="F5" s="87">
        <f t="shared" ref="F5:F10" si="0">C5*E5</f>
        <v>17.166666666666668</v>
      </c>
      <c r="G5" s="88">
        <f>'3 Loon'!K13</f>
        <v>23.750642201834864</v>
      </c>
      <c r="H5" s="89">
        <f t="shared" ref="H5:H10" si="1">F5*G5</f>
        <v>407.71935779816522</v>
      </c>
      <c r="M5" s="64"/>
      <c r="N5" s="86"/>
    </row>
    <row r="6" spans="1:14" x14ac:dyDescent="0.3">
      <c r="B6" s="9" t="s">
        <v>28</v>
      </c>
      <c r="C6" s="12">
        <v>1020</v>
      </c>
      <c r="D6" s="9"/>
      <c r="E6" s="239">
        <v>0.1</v>
      </c>
      <c r="F6" s="90">
        <f t="shared" si="0"/>
        <v>102</v>
      </c>
      <c r="G6" s="91">
        <f>G5</f>
        <v>23.750642201834864</v>
      </c>
      <c r="H6" s="92">
        <f t="shared" si="1"/>
        <v>2422.5655045871563</v>
      </c>
      <c r="M6" s="64"/>
      <c r="N6" s="86"/>
    </row>
    <row r="7" spans="1:14" x14ac:dyDescent="0.3">
      <c r="B7" s="9" t="s">
        <v>29</v>
      </c>
      <c r="C7" s="12">
        <v>1010</v>
      </c>
      <c r="D7" s="9"/>
      <c r="E7" s="239">
        <v>0.03</v>
      </c>
      <c r="F7" s="90">
        <f t="shared" si="0"/>
        <v>30.299999999999997</v>
      </c>
      <c r="G7" s="91">
        <f>G6</f>
        <v>23.750642201834864</v>
      </c>
      <c r="H7" s="92">
        <f t="shared" si="1"/>
        <v>719.64445871559633</v>
      </c>
      <c r="M7" s="64"/>
      <c r="N7" s="86"/>
    </row>
    <row r="8" spans="1:14" x14ac:dyDescent="0.3">
      <c r="B8" s="9" t="s">
        <v>30</v>
      </c>
      <c r="C8" s="12">
        <v>1000</v>
      </c>
      <c r="D8" s="9"/>
      <c r="E8" s="239">
        <v>0.02</v>
      </c>
      <c r="F8" s="90">
        <f t="shared" si="0"/>
        <v>20</v>
      </c>
      <c r="G8" s="91">
        <f>G7</f>
        <v>23.750642201834864</v>
      </c>
      <c r="H8" s="92">
        <f t="shared" si="1"/>
        <v>475.01284403669729</v>
      </c>
      <c r="M8" s="64"/>
      <c r="N8" s="86"/>
    </row>
    <row r="9" spans="1:14" x14ac:dyDescent="0.3">
      <c r="B9" s="9" t="s">
        <v>75</v>
      </c>
      <c r="C9" s="12">
        <v>1020</v>
      </c>
      <c r="D9" s="9"/>
      <c r="E9" s="239">
        <v>0.05</v>
      </c>
      <c r="F9" s="90">
        <f t="shared" si="0"/>
        <v>51</v>
      </c>
      <c r="G9" s="91">
        <f>G8</f>
        <v>23.750642201834864</v>
      </c>
      <c r="H9" s="92">
        <f t="shared" si="1"/>
        <v>1211.2827522935781</v>
      </c>
      <c r="M9" s="64"/>
      <c r="N9" s="86"/>
    </row>
    <row r="10" spans="1:14" x14ac:dyDescent="0.3">
      <c r="B10" s="9" t="s">
        <v>248</v>
      </c>
      <c r="C10" s="12"/>
      <c r="D10" s="9"/>
      <c r="E10" s="239"/>
      <c r="F10" s="93">
        <f t="shared" si="0"/>
        <v>0</v>
      </c>
      <c r="G10" s="94">
        <f>G9</f>
        <v>23.750642201834864</v>
      </c>
      <c r="H10" s="95">
        <f t="shared" si="1"/>
        <v>0</v>
      </c>
      <c r="M10" s="64"/>
      <c r="N10" s="86"/>
    </row>
    <row r="11" spans="1:14" x14ac:dyDescent="0.3">
      <c r="B11" s="85" t="s">
        <v>78</v>
      </c>
      <c r="C11" s="96"/>
      <c r="D11" s="85"/>
      <c r="E11" s="97"/>
      <c r="F11" s="98">
        <f>SUM(F5:F10)</f>
        <v>220.46666666666667</v>
      </c>
      <c r="G11" s="98"/>
      <c r="H11" s="99">
        <f>SUM(H5:H10)</f>
        <v>5236.2249174311928</v>
      </c>
      <c r="M11" s="64"/>
    </row>
    <row r="12" spans="1:14" x14ac:dyDescent="0.3">
      <c r="B12" s="85" t="s">
        <v>73</v>
      </c>
      <c r="C12" s="83">
        <v>0.4</v>
      </c>
      <c r="D12" s="100"/>
      <c r="E12" s="97"/>
      <c r="F12" s="98">
        <f>F11*C12</f>
        <v>88.186666666666667</v>
      </c>
      <c r="G12" s="204">
        <f>G5</f>
        <v>23.750642201834864</v>
      </c>
      <c r="H12" s="99">
        <f>C12*H11</f>
        <v>2094.4899669724773</v>
      </c>
    </row>
    <row r="13" spans="1:14" x14ac:dyDescent="0.3">
      <c r="E13" s="86"/>
      <c r="F13" s="74">
        <f>SUM(F11:F12)</f>
        <v>308.65333333333331</v>
      </c>
      <c r="G13" s="198"/>
      <c r="H13" s="174">
        <f>SUM(H11:H12)</f>
        <v>7330.7148844036701</v>
      </c>
    </row>
    <row r="15" spans="1:14" x14ac:dyDescent="0.3">
      <c r="F15" s="68"/>
      <c r="G15" s="186" t="s">
        <v>163</v>
      </c>
      <c r="H15" s="187">
        <f>H13/'A. Opbrengsten'!C5</f>
        <v>7.3307148844036704E-2</v>
      </c>
    </row>
    <row r="16" spans="1:14" x14ac:dyDescent="0.3">
      <c r="F16" s="69"/>
      <c r="G16" s="67" t="s">
        <v>160</v>
      </c>
      <c r="H16" s="246" t="e">
        <f>H13/'E DPM-Gebouwen'!C10*'E DPM-Gebouwen'!#REF!</f>
        <v>#REF!</v>
      </c>
    </row>
    <row r="17" spans="2:15" x14ac:dyDescent="0.3">
      <c r="F17" s="72"/>
      <c r="G17" s="112" t="s">
        <v>161</v>
      </c>
      <c r="H17" s="189">
        <f>H13/'D DPM-Grond'!C10</f>
        <v>0.61089290703363919</v>
      </c>
    </row>
    <row r="19" spans="2:15" x14ac:dyDescent="0.3">
      <c r="B19" s="64" t="s">
        <v>79</v>
      </c>
      <c r="M19" s="64"/>
      <c r="N19" s="86"/>
    </row>
    <row r="21" spans="2:15" x14ac:dyDescent="0.3">
      <c r="B21" s="64" t="s">
        <v>81</v>
      </c>
    </row>
    <row r="22" spans="2:15" x14ac:dyDescent="0.3">
      <c r="B22" s="64" t="s">
        <v>85</v>
      </c>
      <c r="E22">
        <v>40</v>
      </c>
    </row>
    <row r="23" spans="2:15" x14ac:dyDescent="0.3">
      <c r="B23" s="64" t="s">
        <v>86</v>
      </c>
      <c r="E23">
        <v>4</v>
      </c>
    </row>
    <row r="24" spans="2:15" x14ac:dyDescent="0.3">
      <c r="B24" s="64" t="s">
        <v>205</v>
      </c>
      <c r="E24">
        <v>52</v>
      </c>
    </row>
    <row r="25" spans="2:15" x14ac:dyDescent="0.3">
      <c r="B25" s="64" t="s">
        <v>87</v>
      </c>
      <c r="E25" s="74">
        <f>E22*E24</f>
        <v>2080</v>
      </c>
    </row>
    <row r="26" spans="2:15" x14ac:dyDescent="0.3">
      <c r="B26" s="64" t="s">
        <v>88</v>
      </c>
      <c r="E26" s="74">
        <f>F13</f>
        <v>308.65333333333331</v>
      </c>
    </row>
    <row r="27" spans="2:15" x14ac:dyDescent="0.3">
      <c r="B27" s="64" t="s">
        <v>89</v>
      </c>
      <c r="E27" s="102">
        <f>E26/E25</f>
        <v>0.14839102564102563</v>
      </c>
    </row>
    <row r="28" spans="2:15" x14ac:dyDescent="0.3">
      <c r="E28" s="102"/>
    </row>
    <row r="29" spans="2:15" x14ac:dyDescent="0.3">
      <c r="B29" s="142" t="s">
        <v>120</v>
      </c>
      <c r="E29" s="102"/>
    </row>
    <row r="30" spans="2:15" x14ac:dyDescent="0.3">
      <c r="B30" s="64" t="s">
        <v>173</v>
      </c>
      <c r="E30" s="102"/>
    </row>
    <row r="31" spans="2:15" x14ac:dyDescent="0.3">
      <c r="E31" s="102"/>
    </row>
    <row r="32" spans="2:15" x14ac:dyDescent="0.3">
      <c r="B32" s="142" t="s">
        <v>267</v>
      </c>
      <c r="M32" s="84"/>
      <c r="O32" s="64"/>
    </row>
    <row r="33" spans="2:15" x14ac:dyDescent="0.3">
      <c r="B33" s="64" t="s">
        <v>269</v>
      </c>
      <c r="C33" s="248"/>
      <c r="D33" s="248"/>
      <c r="E33" s="248"/>
      <c r="F33" s="248"/>
      <c r="G33" s="248"/>
      <c r="H33" s="248"/>
      <c r="I33" s="248"/>
      <c r="J33" s="248"/>
      <c r="K33" s="248"/>
      <c r="M33" s="84"/>
      <c r="O33" s="64"/>
    </row>
    <row r="34" spans="2:15" x14ac:dyDescent="0.3">
      <c r="B34" s="64" t="s">
        <v>268</v>
      </c>
      <c r="C34" s="249"/>
      <c r="D34" s="249"/>
      <c r="E34" s="249"/>
      <c r="F34" s="249"/>
      <c r="G34" s="249"/>
      <c r="H34" s="249"/>
      <c r="I34" s="249"/>
      <c r="J34" s="249"/>
      <c r="K34" s="249"/>
      <c r="M34" s="84"/>
      <c r="O34" s="64"/>
    </row>
    <row r="35" spans="2:15" x14ac:dyDescent="0.3">
      <c r="K35" s="74"/>
      <c r="M35" s="84"/>
      <c r="O35" s="64"/>
    </row>
    <row r="36" spans="2:15" x14ac:dyDescent="0.3">
      <c r="K36" s="74"/>
      <c r="M36" s="84"/>
      <c r="O36" s="64"/>
    </row>
    <row r="37" spans="2:15" x14ac:dyDescent="0.3">
      <c r="K37" s="74"/>
      <c r="M37" s="84"/>
      <c r="O37" s="64"/>
    </row>
    <row r="38" spans="2:15" x14ac:dyDescent="0.3">
      <c r="K38" s="74"/>
      <c r="M38" s="84"/>
      <c r="O38" s="64"/>
    </row>
    <row r="39" spans="2:15" x14ac:dyDescent="0.3">
      <c r="K39" s="74"/>
      <c r="M39" s="84"/>
      <c r="O39" s="64"/>
    </row>
    <row r="40" spans="2:15" x14ac:dyDescent="0.3">
      <c r="K40" s="74"/>
      <c r="M40" s="84"/>
      <c r="O40" s="6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722B-8AD5-400C-B86B-E6862EE7AEAA}">
  <dimension ref="B2:I21"/>
  <sheetViews>
    <sheetView zoomScale="104" zoomScaleNormal="104" workbookViewId="0">
      <selection activeCell="B27" sqref="B27"/>
    </sheetView>
  </sheetViews>
  <sheetFormatPr defaultRowHeight="14" x14ac:dyDescent="0.3"/>
  <cols>
    <col min="1" max="1" width="4.75" style="19" customWidth="1"/>
    <col min="2" max="2" width="17" style="19" customWidth="1"/>
    <col min="3" max="3" width="10.1640625" style="19" bestFit="1" customWidth="1"/>
    <col min="4" max="4" width="9.75" style="19" bestFit="1" customWidth="1"/>
    <col min="5" max="5" width="10.08203125" style="19" bestFit="1" customWidth="1"/>
    <col min="6" max="6" width="8.1640625" style="19" bestFit="1" customWidth="1"/>
    <col min="7" max="7" width="7.1640625" style="19" customWidth="1"/>
    <col min="8" max="8" width="10" style="19" customWidth="1"/>
    <col min="9" max="16384" width="8.6640625" style="19"/>
  </cols>
  <sheetData>
    <row r="2" spans="2:9" ht="18" x14ac:dyDescent="0.4">
      <c r="B2" s="34" t="s">
        <v>277</v>
      </c>
    </row>
    <row r="3" spans="2:9" x14ac:dyDescent="0.3">
      <c r="B3" s="146" t="s">
        <v>95</v>
      </c>
      <c r="C3" s="147" t="s">
        <v>11</v>
      </c>
      <c r="D3" s="148" t="s">
        <v>12</v>
      </c>
      <c r="E3" s="147" t="s">
        <v>253</v>
      </c>
      <c r="F3" s="150" t="s">
        <v>13</v>
      </c>
      <c r="G3" s="103" t="s">
        <v>250</v>
      </c>
      <c r="H3" s="243" t="s">
        <v>251</v>
      </c>
    </row>
    <row r="4" spans="2:9" x14ac:dyDescent="0.3">
      <c r="B4" s="32" t="s">
        <v>15</v>
      </c>
      <c r="C4" s="11">
        <v>12000</v>
      </c>
      <c r="D4" s="53">
        <v>20</v>
      </c>
      <c r="E4" s="47">
        <f>C4*D4</f>
        <v>240000</v>
      </c>
      <c r="F4" s="22">
        <f>E4*1%</f>
        <v>2400</v>
      </c>
      <c r="G4" s="266">
        <v>0.1</v>
      </c>
      <c r="H4" s="24">
        <f>G4*F4</f>
        <v>240</v>
      </c>
    </row>
    <row r="5" spans="2:9" x14ac:dyDescent="0.3">
      <c r="B5" s="16" t="s">
        <v>14</v>
      </c>
      <c r="C5" s="12"/>
      <c r="D5" s="54"/>
      <c r="E5" s="48"/>
      <c r="F5" s="24"/>
      <c r="G5" s="266">
        <v>0.2</v>
      </c>
      <c r="H5" s="24">
        <f t="shared" ref="H5:H9" si="0">G5*F5</f>
        <v>0</v>
      </c>
    </row>
    <row r="6" spans="2:9" x14ac:dyDescent="0.3">
      <c r="B6" s="16" t="s">
        <v>252</v>
      </c>
      <c r="C6" s="12"/>
      <c r="D6" s="54"/>
      <c r="E6" s="48"/>
      <c r="F6" s="24"/>
      <c r="G6" s="266">
        <f t="shared" ref="G6:G9" si="1">G5</f>
        <v>0.2</v>
      </c>
      <c r="H6" s="24">
        <f t="shared" si="0"/>
        <v>0</v>
      </c>
    </row>
    <row r="7" spans="2:9" x14ac:dyDescent="0.3">
      <c r="B7" s="16"/>
      <c r="C7" s="12"/>
      <c r="D7" s="54"/>
      <c r="E7" s="48"/>
      <c r="F7" s="24"/>
      <c r="G7" s="266">
        <f t="shared" si="1"/>
        <v>0.2</v>
      </c>
      <c r="H7" s="24">
        <f t="shared" si="0"/>
        <v>0</v>
      </c>
    </row>
    <row r="8" spans="2:9" x14ac:dyDescent="0.3">
      <c r="B8" s="16"/>
      <c r="C8" s="12"/>
      <c r="D8" s="54"/>
      <c r="E8" s="48"/>
      <c r="F8" s="24"/>
      <c r="G8" s="266">
        <f t="shared" si="1"/>
        <v>0.2</v>
      </c>
      <c r="H8" s="24">
        <f t="shared" si="0"/>
        <v>0</v>
      </c>
    </row>
    <row r="9" spans="2:9" x14ac:dyDescent="0.3">
      <c r="B9" s="33"/>
      <c r="C9" s="14"/>
      <c r="D9" s="55"/>
      <c r="E9" s="49"/>
      <c r="F9" s="27"/>
      <c r="G9" s="266">
        <f t="shared" si="1"/>
        <v>0.2</v>
      </c>
      <c r="H9" s="24">
        <f t="shared" si="0"/>
        <v>0</v>
      </c>
    </row>
    <row r="10" spans="2:9" x14ac:dyDescent="0.3">
      <c r="B10" s="25" t="s">
        <v>94</v>
      </c>
      <c r="C10" s="28">
        <f>SUM(C4:C9)</f>
        <v>12000</v>
      </c>
      <c r="D10" s="26"/>
      <c r="E10" s="49">
        <f>SUM(E4:E9)</f>
        <v>240000</v>
      </c>
      <c r="F10" s="240">
        <f>SUM(F4:F9)</f>
        <v>2400</v>
      </c>
      <c r="G10" s="267"/>
      <c r="H10" s="202">
        <f>E10*1%</f>
        <v>2400</v>
      </c>
      <c r="I10" s="19" t="s">
        <v>156</v>
      </c>
    </row>
    <row r="12" spans="2:9" x14ac:dyDescent="0.3">
      <c r="E12" s="20"/>
      <c r="F12" s="21"/>
      <c r="G12" s="30" t="s">
        <v>148</v>
      </c>
      <c r="H12" s="191">
        <f>H10/'A. Opbrengsten'!C5</f>
        <v>2.4E-2</v>
      </c>
    </row>
    <row r="13" spans="2:9" x14ac:dyDescent="0.3">
      <c r="E13" s="23"/>
      <c r="F13" s="244"/>
      <c r="G13" s="245" t="s">
        <v>149</v>
      </c>
      <c r="H13" s="193">
        <f>E10/'E DPM-Gebouwen'!C10</f>
        <v>2.1818181818181817</v>
      </c>
    </row>
    <row r="14" spans="2:9" x14ac:dyDescent="0.3">
      <c r="E14" s="25"/>
      <c r="F14" s="196"/>
      <c r="G14" s="197" t="s">
        <v>150</v>
      </c>
      <c r="H14" s="195">
        <f>E10/C10</f>
        <v>20</v>
      </c>
    </row>
    <row r="15" spans="2:9" x14ac:dyDescent="0.3">
      <c r="B15" s="142" t="s">
        <v>120</v>
      </c>
    </row>
    <row r="16" spans="2:9" x14ac:dyDescent="0.3">
      <c r="B16" s="19" t="s">
        <v>203</v>
      </c>
    </row>
    <row r="17" spans="2:8" x14ac:dyDescent="0.3">
      <c r="B17" s="19" t="s">
        <v>240</v>
      </c>
    </row>
    <row r="19" spans="2:8" x14ac:dyDescent="0.3">
      <c r="B19" s="142" t="s">
        <v>267</v>
      </c>
      <c r="C19" s="64"/>
      <c r="D19" s="64"/>
      <c r="E19" s="64"/>
    </row>
    <row r="20" spans="2:8" x14ac:dyDescent="0.3">
      <c r="B20" s="64" t="s">
        <v>269</v>
      </c>
      <c r="C20" s="248"/>
      <c r="D20" s="248"/>
      <c r="E20" s="248"/>
      <c r="F20" s="248"/>
      <c r="G20" s="248"/>
      <c r="H20" s="248"/>
    </row>
    <row r="21" spans="2:8" x14ac:dyDescent="0.3">
      <c r="B21" s="64" t="s">
        <v>268</v>
      </c>
      <c r="C21" s="249"/>
      <c r="D21" s="249"/>
      <c r="E21" s="249"/>
      <c r="F21" s="249"/>
      <c r="G21" s="249"/>
      <c r="H21" s="24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3879D-AD64-44B0-9651-D00DE423F272}">
  <dimension ref="A1:P28"/>
  <sheetViews>
    <sheetView zoomScale="104" zoomScaleNormal="104" workbookViewId="0">
      <selection activeCell="B27" sqref="B27"/>
    </sheetView>
  </sheetViews>
  <sheetFormatPr defaultRowHeight="14" x14ac:dyDescent="0.3"/>
  <cols>
    <col min="1" max="1" width="3.5" style="19" customWidth="1"/>
    <col min="2" max="2" width="20.83203125" style="19" customWidth="1"/>
    <col min="3" max="3" width="8.58203125" style="19" bestFit="1" customWidth="1"/>
    <col min="4" max="4" width="7.9140625" style="39" customWidth="1"/>
    <col min="5" max="5" width="8" style="19" bestFit="1" customWidth="1"/>
    <col min="6" max="6" width="10.08203125" style="19" bestFit="1" customWidth="1"/>
    <col min="7" max="7" width="3.25" style="19" customWidth="1"/>
    <col min="8" max="8" width="10.1640625" style="19" customWidth="1"/>
    <col min="9" max="9" width="4.25" style="19" customWidth="1"/>
    <col min="10" max="10" width="10.1640625" style="19" customWidth="1"/>
    <col min="11" max="11" width="4.25" style="19" customWidth="1"/>
    <col min="12" max="12" width="10.1640625" style="19" customWidth="1"/>
    <col min="13" max="13" width="9.08203125" style="19" bestFit="1" customWidth="1"/>
    <col min="14" max="14" width="5.9140625" style="19" customWidth="1"/>
    <col min="15" max="15" width="9.08203125" style="19" bestFit="1" customWidth="1"/>
    <col min="16" max="16" width="3.6640625" style="19" customWidth="1"/>
    <col min="17" max="16384" width="8.6640625" style="19"/>
  </cols>
  <sheetData>
    <row r="1" spans="1:16" x14ac:dyDescent="0.3">
      <c r="A1" s="19" t="s">
        <v>112</v>
      </c>
    </row>
    <row r="2" spans="1:16" ht="18" x14ac:dyDescent="0.4">
      <c r="B2" s="34" t="s">
        <v>278</v>
      </c>
    </row>
    <row r="3" spans="1:16" x14ac:dyDescent="0.3">
      <c r="B3" s="146" t="s">
        <v>125</v>
      </c>
      <c r="C3" s="147" t="s">
        <v>103</v>
      </c>
      <c r="D3" s="150" t="s">
        <v>7</v>
      </c>
      <c r="E3" s="148" t="s">
        <v>102</v>
      </c>
      <c r="F3" s="148" t="s">
        <v>18</v>
      </c>
      <c r="G3" s="79" t="s">
        <v>4</v>
      </c>
      <c r="H3" s="151"/>
      <c r="I3" s="152" t="s">
        <v>5</v>
      </c>
      <c r="J3" s="152"/>
      <c r="K3" s="79" t="s">
        <v>6</v>
      </c>
      <c r="L3" s="151"/>
      <c r="M3" s="146" t="s">
        <v>18</v>
      </c>
      <c r="N3" s="146" t="s">
        <v>274</v>
      </c>
      <c r="O3" s="128"/>
    </row>
    <row r="4" spans="1:16" x14ac:dyDescent="0.3">
      <c r="B4" s="154" t="s">
        <v>126</v>
      </c>
      <c r="C4" s="155" t="s">
        <v>104</v>
      </c>
      <c r="D4" s="156"/>
      <c r="E4" s="157" t="s">
        <v>101</v>
      </c>
      <c r="F4" s="157"/>
      <c r="G4" s="155" t="s">
        <v>8</v>
      </c>
      <c r="H4" s="158" t="s">
        <v>9</v>
      </c>
      <c r="I4" s="156" t="s">
        <v>8</v>
      </c>
      <c r="J4" s="155" t="s">
        <v>9</v>
      </c>
      <c r="K4" s="159" t="s">
        <v>8</v>
      </c>
      <c r="L4" s="160" t="s">
        <v>9</v>
      </c>
      <c r="M4" s="129" t="s">
        <v>124</v>
      </c>
      <c r="N4" s="260" t="s">
        <v>275</v>
      </c>
      <c r="O4" s="261" t="s">
        <v>276</v>
      </c>
    </row>
    <row r="5" spans="1:16" x14ac:dyDescent="0.3">
      <c r="B5" s="8" t="s">
        <v>96</v>
      </c>
      <c r="C5" s="199">
        <v>10000</v>
      </c>
      <c r="D5" s="135" t="s">
        <v>105</v>
      </c>
      <c r="E5" s="53">
        <v>37</v>
      </c>
      <c r="F5" s="50">
        <f>C5*E5</f>
        <v>370000</v>
      </c>
      <c r="G5" s="257">
        <v>7</v>
      </c>
      <c r="H5" s="35">
        <f>F5*G5%</f>
        <v>25900.000000000004</v>
      </c>
      <c r="I5" s="58">
        <v>2</v>
      </c>
      <c r="J5" s="47">
        <f>F5*I5%</f>
        <v>7400</v>
      </c>
      <c r="K5" s="32">
        <v>0.5</v>
      </c>
      <c r="L5" s="22">
        <f>F5*K5%</f>
        <v>1850</v>
      </c>
      <c r="M5" s="35">
        <f>L5+J5+H5</f>
        <v>35150</v>
      </c>
      <c r="N5" s="262">
        <v>0.2</v>
      </c>
      <c r="O5" s="22">
        <f>N5*M5</f>
        <v>7030</v>
      </c>
    </row>
    <row r="6" spans="1:16" x14ac:dyDescent="0.3">
      <c r="B6" s="9" t="s">
        <v>97</v>
      </c>
      <c r="C6" s="200">
        <v>100000</v>
      </c>
      <c r="D6" s="136"/>
      <c r="E6" s="54"/>
      <c r="F6" s="51">
        <v>100000</v>
      </c>
      <c r="G6" s="258">
        <v>7</v>
      </c>
      <c r="H6" s="36">
        <f t="shared" ref="H6:H9" si="0">F6*G6%</f>
        <v>7000.0000000000009</v>
      </c>
      <c r="I6" s="59">
        <v>2</v>
      </c>
      <c r="J6" s="48">
        <f t="shared" ref="J6:J9" si="1">F6*I6%</f>
        <v>2000</v>
      </c>
      <c r="K6" s="16">
        <v>0.5</v>
      </c>
      <c r="L6" s="24">
        <f t="shared" ref="L6:L9" si="2">F6*K6%</f>
        <v>500</v>
      </c>
      <c r="M6" s="36">
        <f t="shared" ref="M6" si="3">L6+J6+H6</f>
        <v>9500</v>
      </c>
      <c r="N6" s="241">
        <f>N5</f>
        <v>0.2</v>
      </c>
      <c r="O6" s="24">
        <f>N6*M6</f>
        <v>1900</v>
      </c>
    </row>
    <row r="7" spans="1:16" x14ac:dyDescent="0.3">
      <c r="B7" s="9" t="s">
        <v>98</v>
      </c>
      <c r="C7" s="200"/>
      <c r="D7" s="136"/>
      <c r="E7" s="54"/>
      <c r="F7" s="51"/>
      <c r="G7" s="258">
        <v>7</v>
      </c>
      <c r="H7" s="36">
        <f t="shared" si="0"/>
        <v>0</v>
      </c>
      <c r="I7" s="59">
        <v>2</v>
      </c>
      <c r="J7" s="48">
        <f t="shared" si="1"/>
        <v>0</v>
      </c>
      <c r="K7" s="16">
        <v>0.5</v>
      </c>
      <c r="L7" s="24">
        <f t="shared" si="2"/>
        <v>0</v>
      </c>
      <c r="M7" s="36">
        <f t="shared" ref="M7:M9" si="4">L7+J7+H7</f>
        <v>0</v>
      </c>
      <c r="N7" s="241">
        <f t="shared" ref="N7:N9" si="5">N6</f>
        <v>0.2</v>
      </c>
      <c r="O7" s="24">
        <f t="shared" ref="O7:O9" si="6">N7*M7</f>
        <v>0</v>
      </c>
    </row>
    <row r="8" spans="1:16" x14ac:dyDescent="0.3">
      <c r="B8" s="9" t="s">
        <v>106</v>
      </c>
      <c r="C8" s="200" t="s">
        <v>164</v>
      </c>
      <c r="D8" s="136"/>
      <c r="E8" s="54"/>
      <c r="F8" s="51"/>
      <c r="G8" s="258">
        <v>7</v>
      </c>
      <c r="H8" s="36">
        <f t="shared" si="0"/>
        <v>0</v>
      </c>
      <c r="I8" s="59">
        <v>2</v>
      </c>
      <c r="J8" s="48">
        <f t="shared" si="1"/>
        <v>0</v>
      </c>
      <c r="K8" s="16">
        <v>0.5</v>
      </c>
      <c r="L8" s="24">
        <f t="shared" si="2"/>
        <v>0</v>
      </c>
      <c r="M8" s="36">
        <f t="shared" si="4"/>
        <v>0</v>
      </c>
      <c r="N8" s="241">
        <f t="shared" si="5"/>
        <v>0.2</v>
      </c>
      <c r="O8" s="24">
        <f t="shared" si="6"/>
        <v>0</v>
      </c>
    </row>
    <row r="9" spans="1:16" x14ac:dyDescent="0.3">
      <c r="B9" s="10" t="s">
        <v>107</v>
      </c>
      <c r="C9" s="201" t="s">
        <v>164</v>
      </c>
      <c r="D9" s="137"/>
      <c r="E9" s="55"/>
      <c r="F9" s="52"/>
      <c r="G9" s="259">
        <v>7</v>
      </c>
      <c r="H9" s="37">
        <f t="shared" si="0"/>
        <v>0</v>
      </c>
      <c r="I9" s="60">
        <v>2</v>
      </c>
      <c r="J9" s="49">
        <f t="shared" si="1"/>
        <v>0</v>
      </c>
      <c r="K9" s="33">
        <v>0.5</v>
      </c>
      <c r="L9" s="27">
        <f t="shared" si="2"/>
        <v>0</v>
      </c>
      <c r="M9" s="37">
        <f t="shared" si="4"/>
        <v>0</v>
      </c>
      <c r="N9" s="242">
        <f t="shared" si="5"/>
        <v>0.2</v>
      </c>
      <c r="O9" s="27">
        <f t="shared" si="6"/>
        <v>0</v>
      </c>
    </row>
    <row r="10" spans="1:16" x14ac:dyDescent="0.3">
      <c r="B10" s="25" t="s">
        <v>18</v>
      </c>
      <c r="C10" s="138">
        <f>SUM(C5:C9)</f>
        <v>110000</v>
      </c>
      <c r="D10" s="139"/>
      <c r="E10" s="56"/>
      <c r="F10" s="52">
        <f>SUM(F5:F9)</f>
        <v>470000</v>
      </c>
      <c r="G10" s="25"/>
      <c r="H10" s="37">
        <f>SUM(H5:H9)</f>
        <v>32900.000000000007</v>
      </c>
      <c r="I10" s="29"/>
      <c r="J10" s="49">
        <f>SUM(J5:J9)</f>
        <v>9400</v>
      </c>
      <c r="K10" s="31"/>
      <c r="L10" s="27">
        <f>SUM(L5:L9)</f>
        <v>2350</v>
      </c>
      <c r="M10" s="27">
        <f>SUM(M5:M9)</f>
        <v>44650</v>
      </c>
      <c r="O10" s="203">
        <f>SUM(O5:O9)</f>
        <v>8930</v>
      </c>
      <c r="P10" s="19" t="s">
        <v>162</v>
      </c>
    </row>
    <row r="11" spans="1:16" x14ac:dyDescent="0.3">
      <c r="L11" s="38"/>
      <c r="M11" s="57"/>
    </row>
    <row r="12" spans="1:16" x14ac:dyDescent="0.3">
      <c r="K12" s="20"/>
      <c r="L12" s="21"/>
      <c r="M12" s="21"/>
      <c r="N12" s="30" t="s">
        <v>155</v>
      </c>
      <c r="O12" s="191">
        <f>O10/'A. Opbrengsten'!C4</f>
        <v>8.9300000000000004E-2</v>
      </c>
    </row>
    <row r="13" spans="1:16" x14ac:dyDescent="0.3">
      <c r="K13" s="23"/>
      <c r="N13" s="38" t="s">
        <v>168</v>
      </c>
      <c r="O13" s="263">
        <f>O10/C10</f>
        <v>8.1181818181818188E-2</v>
      </c>
    </row>
    <row r="14" spans="1:16" x14ac:dyDescent="0.3">
      <c r="K14" s="25"/>
      <c r="L14" s="196"/>
      <c r="M14" s="196"/>
      <c r="N14" s="197" t="s">
        <v>169</v>
      </c>
      <c r="O14" s="264">
        <f>O10/'D DPM-Grond'!C10</f>
        <v>0.74416666666666664</v>
      </c>
    </row>
    <row r="16" spans="1:16" x14ac:dyDescent="0.3">
      <c r="B16" s="142" t="s">
        <v>120</v>
      </c>
    </row>
    <row r="17" spans="2:12" x14ac:dyDescent="0.3">
      <c r="B17" s="19" t="s">
        <v>240</v>
      </c>
      <c r="K17" s="46" t="s">
        <v>4</v>
      </c>
      <c r="L17" s="40"/>
    </row>
    <row r="18" spans="2:12" x14ac:dyDescent="0.3">
      <c r="B18" s="19" t="s">
        <v>109</v>
      </c>
      <c r="K18" s="42" t="s">
        <v>99</v>
      </c>
      <c r="L18" s="43" t="s">
        <v>100</v>
      </c>
    </row>
    <row r="19" spans="2:12" x14ac:dyDescent="0.3">
      <c r="B19" s="19" t="s">
        <v>201</v>
      </c>
      <c r="K19" s="41">
        <v>25</v>
      </c>
      <c r="L19" s="44">
        <f t="shared" ref="L19:L22" si="7">100/K19</f>
        <v>4</v>
      </c>
    </row>
    <row r="20" spans="2:12" x14ac:dyDescent="0.3">
      <c r="B20" s="19" t="s">
        <v>202</v>
      </c>
      <c r="K20" s="41">
        <v>20</v>
      </c>
      <c r="L20" s="44">
        <f t="shared" si="7"/>
        <v>5</v>
      </c>
    </row>
    <row r="21" spans="2:12" x14ac:dyDescent="0.3">
      <c r="K21" s="41">
        <v>15</v>
      </c>
      <c r="L21" s="44">
        <f t="shared" si="7"/>
        <v>6.666666666666667</v>
      </c>
    </row>
    <row r="22" spans="2:12" x14ac:dyDescent="0.3">
      <c r="K22" s="41">
        <v>12</v>
      </c>
      <c r="L22" s="44">
        <f t="shared" si="7"/>
        <v>8.3333333333333339</v>
      </c>
    </row>
    <row r="23" spans="2:12" x14ac:dyDescent="0.3">
      <c r="B23" s="142" t="s">
        <v>267</v>
      </c>
      <c r="C23" s="64"/>
      <c r="D23" s="64"/>
      <c r="E23" s="64"/>
      <c r="K23" s="23">
        <v>10</v>
      </c>
      <c r="L23" s="44">
        <f>100/K23</f>
        <v>10</v>
      </c>
    </row>
    <row r="24" spans="2:12" x14ac:dyDescent="0.3">
      <c r="B24" s="64" t="s">
        <v>269</v>
      </c>
      <c r="C24" s="248"/>
      <c r="D24" s="248"/>
      <c r="E24" s="248"/>
      <c r="F24" s="248"/>
      <c r="G24" s="248"/>
      <c r="H24" s="248"/>
      <c r="I24" s="248"/>
      <c r="K24" s="23">
        <v>9</v>
      </c>
      <c r="L24" s="44">
        <f t="shared" ref="L24:L26" si="8">100/K24</f>
        <v>11.111111111111111</v>
      </c>
    </row>
    <row r="25" spans="2:12" x14ac:dyDescent="0.3">
      <c r="B25" s="64" t="s">
        <v>268</v>
      </c>
      <c r="C25" s="249"/>
      <c r="D25" s="249"/>
      <c r="E25" s="249"/>
      <c r="F25" s="249"/>
      <c r="G25" s="249"/>
      <c r="H25" s="249"/>
      <c r="I25" s="249"/>
      <c r="K25" s="23">
        <v>8</v>
      </c>
      <c r="L25" s="44">
        <f t="shared" si="8"/>
        <v>12.5</v>
      </c>
    </row>
    <row r="26" spans="2:12" x14ac:dyDescent="0.3">
      <c r="K26" s="23">
        <v>7</v>
      </c>
      <c r="L26" s="44">
        <f t="shared" si="8"/>
        <v>14.285714285714286</v>
      </c>
    </row>
    <row r="27" spans="2:12" x14ac:dyDescent="0.3">
      <c r="K27" s="23">
        <v>6</v>
      </c>
      <c r="L27" s="44">
        <f>100/K27</f>
        <v>16.666666666666668</v>
      </c>
    </row>
    <row r="28" spans="2:12" x14ac:dyDescent="0.3">
      <c r="K28" s="25">
        <v>5</v>
      </c>
      <c r="L28" s="45">
        <f t="shared" ref="L28" si="9">100/K28</f>
        <v>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2CA5F-E767-445D-8E5F-5A7520EEE46D}">
  <dimension ref="B2:N27"/>
  <sheetViews>
    <sheetView workbookViewId="0">
      <selection activeCell="B27" sqref="B27"/>
    </sheetView>
  </sheetViews>
  <sheetFormatPr defaultRowHeight="14" x14ac:dyDescent="0.3"/>
  <cols>
    <col min="1" max="1" width="3.9140625" style="64" customWidth="1"/>
    <col min="2" max="2" width="3.08203125" style="64" customWidth="1"/>
    <col min="3" max="3" width="16.6640625" style="64" customWidth="1"/>
    <col min="4" max="4" width="8.25" style="64" bestFit="1" customWidth="1"/>
    <col min="5" max="5" width="4.6640625" style="64" customWidth="1"/>
    <col min="6" max="6" width="8.33203125" style="64" customWidth="1"/>
    <col min="7" max="7" width="4.6640625" style="64" customWidth="1"/>
    <col min="8" max="8" width="8.33203125" style="64" customWidth="1"/>
    <col min="9" max="9" width="4.6640625" style="64" customWidth="1"/>
    <col min="10" max="10" width="8.33203125" style="64" customWidth="1"/>
    <col min="11" max="11" width="10.5" style="64" bestFit="1" customWidth="1"/>
    <col min="12" max="12" width="4.4140625" style="64" customWidth="1"/>
    <col min="13" max="16384" width="8.6640625" style="64"/>
  </cols>
  <sheetData>
    <row r="2" spans="2:14" ht="18" x14ac:dyDescent="0.4">
      <c r="B2" s="34" t="s">
        <v>279</v>
      </c>
    </row>
    <row r="3" spans="2:14" x14ac:dyDescent="0.3">
      <c r="B3" s="146" t="s">
        <v>10</v>
      </c>
      <c r="C3" s="128"/>
      <c r="D3" s="153" t="s">
        <v>121</v>
      </c>
      <c r="E3" s="63" t="s">
        <v>4</v>
      </c>
      <c r="F3" s="162"/>
      <c r="G3" s="63" t="s">
        <v>5</v>
      </c>
      <c r="H3" s="162"/>
      <c r="I3" s="63" t="s">
        <v>6</v>
      </c>
      <c r="J3" s="162"/>
      <c r="K3" s="150" t="s">
        <v>123</v>
      </c>
      <c r="L3" s="146" t="s">
        <v>274</v>
      </c>
      <c r="M3" s="128"/>
    </row>
    <row r="4" spans="2:14" x14ac:dyDescent="0.3">
      <c r="B4" s="129"/>
      <c r="C4" s="163"/>
      <c r="D4" s="161" t="s">
        <v>122</v>
      </c>
      <c r="E4" s="164" t="s">
        <v>8</v>
      </c>
      <c r="F4" s="133" t="s">
        <v>9</v>
      </c>
      <c r="G4" s="164" t="s">
        <v>8</v>
      </c>
      <c r="H4" s="133" t="s">
        <v>9</v>
      </c>
      <c r="I4" s="164" t="s">
        <v>8</v>
      </c>
      <c r="J4" s="133" t="s">
        <v>9</v>
      </c>
      <c r="K4" s="133" t="s">
        <v>124</v>
      </c>
      <c r="L4" s="260" t="s">
        <v>275</v>
      </c>
      <c r="M4" s="261" t="s">
        <v>276</v>
      </c>
    </row>
    <row r="5" spans="2:14" x14ac:dyDescent="0.3">
      <c r="B5" s="69">
        <v>1</v>
      </c>
      <c r="C5" s="140" t="s">
        <v>31</v>
      </c>
      <c r="D5" s="17">
        <v>25000</v>
      </c>
      <c r="E5" s="9">
        <v>10</v>
      </c>
      <c r="F5" s="143">
        <f>D5*E5%</f>
        <v>2500</v>
      </c>
      <c r="G5" s="9">
        <v>2</v>
      </c>
      <c r="H5" s="143">
        <f>D5*G5%</f>
        <v>500</v>
      </c>
      <c r="I5" s="9">
        <v>5</v>
      </c>
      <c r="J5" s="143">
        <f>D5*I5%</f>
        <v>1250</v>
      </c>
      <c r="K5" s="89">
        <f>J5+H5+F5</f>
        <v>4250</v>
      </c>
      <c r="L5" s="268">
        <v>0.2</v>
      </c>
      <c r="M5" s="22">
        <f>L5*K5</f>
        <v>850</v>
      </c>
    </row>
    <row r="6" spans="2:14" x14ac:dyDescent="0.3">
      <c r="B6" s="69">
        <v>2</v>
      </c>
      <c r="C6" s="140"/>
      <c r="D6" s="17"/>
      <c r="E6" s="9">
        <v>10</v>
      </c>
      <c r="F6" s="143">
        <f t="shared" ref="F6:F11" si="0">D6*E6%</f>
        <v>0</v>
      </c>
      <c r="G6" s="9">
        <v>2</v>
      </c>
      <c r="H6" s="143">
        <f t="shared" ref="H6:H11" si="1">D6*G6%</f>
        <v>0</v>
      </c>
      <c r="I6" s="9">
        <v>5</v>
      </c>
      <c r="J6" s="143">
        <f t="shared" ref="J6:J11" si="2">D6*I6%</f>
        <v>0</v>
      </c>
      <c r="K6" s="92">
        <f t="shared" ref="K6:K11" si="3">J6+H6+F6</f>
        <v>0</v>
      </c>
      <c r="L6" s="266">
        <f>L5</f>
        <v>0.2</v>
      </c>
      <c r="M6" s="24">
        <f>L6*K6</f>
        <v>0</v>
      </c>
    </row>
    <row r="7" spans="2:14" x14ac:dyDescent="0.3">
      <c r="B7" s="69">
        <v>3</v>
      </c>
      <c r="C7" s="140"/>
      <c r="D7" s="17"/>
      <c r="E7" s="9">
        <v>10</v>
      </c>
      <c r="F7" s="143">
        <f t="shared" si="0"/>
        <v>0</v>
      </c>
      <c r="G7" s="9">
        <v>2</v>
      </c>
      <c r="H7" s="143">
        <f t="shared" si="1"/>
        <v>0</v>
      </c>
      <c r="I7" s="9">
        <v>5</v>
      </c>
      <c r="J7" s="143">
        <f t="shared" si="2"/>
        <v>0</v>
      </c>
      <c r="K7" s="92">
        <f t="shared" si="3"/>
        <v>0</v>
      </c>
      <c r="L7" s="266">
        <f t="shared" ref="L7:L9" si="4">L6</f>
        <v>0.2</v>
      </c>
      <c r="M7" s="24">
        <f t="shared" ref="M7:M9" si="5">L7*K7</f>
        <v>0</v>
      </c>
    </row>
    <row r="8" spans="2:14" x14ac:dyDescent="0.3">
      <c r="B8" s="69">
        <v>4</v>
      </c>
      <c r="C8" s="140"/>
      <c r="D8" s="17"/>
      <c r="E8" s="9">
        <v>10</v>
      </c>
      <c r="F8" s="143">
        <f t="shared" si="0"/>
        <v>0</v>
      </c>
      <c r="G8" s="9">
        <v>2</v>
      </c>
      <c r="H8" s="143">
        <f t="shared" si="1"/>
        <v>0</v>
      </c>
      <c r="I8" s="9">
        <v>5</v>
      </c>
      <c r="J8" s="143">
        <f t="shared" si="2"/>
        <v>0</v>
      </c>
      <c r="K8" s="92">
        <f t="shared" si="3"/>
        <v>0</v>
      </c>
      <c r="L8" s="266">
        <f t="shared" si="4"/>
        <v>0.2</v>
      </c>
      <c r="M8" s="24">
        <f t="shared" si="5"/>
        <v>0</v>
      </c>
    </row>
    <row r="9" spans="2:14" x14ac:dyDescent="0.3">
      <c r="B9" s="69">
        <v>5</v>
      </c>
      <c r="C9" s="140"/>
      <c r="D9" s="17"/>
      <c r="E9" s="9">
        <v>10</v>
      </c>
      <c r="F9" s="143">
        <f t="shared" si="0"/>
        <v>0</v>
      </c>
      <c r="G9" s="9">
        <v>2</v>
      </c>
      <c r="H9" s="143">
        <f t="shared" si="1"/>
        <v>0</v>
      </c>
      <c r="I9" s="9">
        <v>5</v>
      </c>
      <c r="J9" s="143">
        <f t="shared" si="2"/>
        <v>0</v>
      </c>
      <c r="K9" s="92">
        <f t="shared" si="3"/>
        <v>0</v>
      </c>
      <c r="L9" s="266">
        <f t="shared" ref="L9:L12" si="6">L8</f>
        <v>0.2</v>
      </c>
      <c r="M9" s="24">
        <f t="shared" ref="M9:M11" si="7">L9*K9</f>
        <v>0</v>
      </c>
    </row>
    <row r="10" spans="2:14" x14ac:dyDescent="0.3">
      <c r="B10" s="69">
        <v>6</v>
      </c>
      <c r="C10" s="140"/>
      <c r="D10" s="17"/>
      <c r="E10" s="9">
        <v>10</v>
      </c>
      <c r="F10" s="143">
        <f t="shared" si="0"/>
        <v>0</v>
      </c>
      <c r="G10" s="9">
        <v>2</v>
      </c>
      <c r="H10" s="143">
        <f t="shared" si="1"/>
        <v>0</v>
      </c>
      <c r="I10" s="9">
        <v>5</v>
      </c>
      <c r="J10" s="143">
        <f t="shared" si="2"/>
        <v>0</v>
      </c>
      <c r="K10" s="92">
        <f t="shared" si="3"/>
        <v>0</v>
      </c>
      <c r="L10" s="266">
        <f t="shared" si="6"/>
        <v>0.2</v>
      </c>
      <c r="M10" s="24">
        <f t="shared" si="7"/>
        <v>0</v>
      </c>
    </row>
    <row r="11" spans="2:14" x14ac:dyDescent="0.3">
      <c r="B11" s="72">
        <v>7</v>
      </c>
      <c r="C11" s="141"/>
      <c r="D11" s="18"/>
      <c r="E11" s="10">
        <v>10</v>
      </c>
      <c r="F11" s="144">
        <f t="shared" si="0"/>
        <v>0</v>
      </c>
      <c r="G11" s="10">
        <v>2</v>
      </c>
      <c r="H11" s="144">
        <f t="shared" si="1"/>
        <v>0</v>
      </c>
      <c r="I11" s="10">
        <v>5</v>
      </c>
      <c r="J11" s="144">
        <f t="shared" si="2"/>
        <v>0</v>
      </c>
      <c r="K11" s="95">
        <f t="shared" si="3"/>
        <v>0</v>
      </c>
      <c r="L11" s="269">
        <f t="shared" si="6"/>
        <v>0.2</v>
      </c>
      <c r="M11" s="27">
        <f t="shared" si="7"/>
        <v>0</v>
      </c>
    </row>
    <row r="12" spans="2:14" x14ac:dyDescent="0.3">
      <c r="B12" s="64" t="s">
        <v>94</v>
      </c>
      <c r="F12" s="265">
        <f>SUM(F5:F7)</f>
        <v>2500</v>
      </c>
      <c r="H12" s="265">
        <f>SUM(H5:H7)</f>
        <v>500</v>
      </c>
      <c r="J12" s="265">
        <f>SUM(J5:J7)</f>
        <v>1250</v>
      </c>
      <c r="K12" s="265">
        <f>SUM(K5:K11)</f>
        <v>4250</v>
      </c>
      <c r="L12" s="19"/>
      <c r="M12" s="174">
        <f>SUM(M5:M11)</f>
        <v>850</v>
      </c>
      <c r="N12" s="64" t="s">
        <v>165</v>
      </c>
    </row>
    <row r="15" spans="2:14" x14ac:dyDescent="0.3">
      <c r="G15" s="20"/>
      <c r="H15" s="21"/>
      <c r="I15" s="21"/>
      <c r="J15" s="30" t="s">
        <v>155</v>
      </c>
      <c r="K15" s="191">
        <f>M12/'A. Opbrengsten'!C5</f>
        <v>8.5000000000000006E-3</v>
      </c>
    </row>
    <row r="16" spans="2:14" x14ac:dyDescent="0.3">
      <c r="G16" s="23"/>
      <c r="H16" s="19"/>
      <c r="I16" s="19"/>
      <c r="J16" s="38" t="s">
        <v>168</v>
      </c>
      <c r="K16" s="193">
        <f>M12/'E DPM-Gebouwen'!C10</f>
        <v>7.7272727272727276E-3</v>
      </c>
    </row>
    <row r="17" spans="2:11" x14ac:dyDescent="0.3">
      <c r="G17" s="25"/>
      <c r="H17" s="196"/>
      <c r="I17" s="196"/>
      <c r="J17" s="197" t="s">
        <v>169</v>
      </c>
      <c r="K17" s="195">
        <f>M12/'D DPM-Grond'!C10</f>
        <v>7.0833333333333331E-2</v>
      </c>
    </row>
    <row r="19" spans="2:11" x14ac:dyDescent="0.3">
      <c r="B19" s="142" t="s">
        <v>120</v>
      </c>
    </row>
    <row r="20" spans="2:11" x14ac:dyDescent="0.3">
      <c r="B20" s="64" t="s">
        <v>127</v>
      </c>
    </row>
    <row r="21" spans="2:11" x14ac:dyDescent="0.3">
      <c r="B21" s="64" t="s">
        <v>245</v>
      </c>
    </row>
    <row r="22" spans="2:11" x14ac:dyDescent="0.3">
      <c r="B22" s="64" t="s">
        <v>246</v>
      </c>
    </row>
    <row r="25" spans="2:11" x14ac:dyDescent="0.3">
      <c r="B25" s="142" t="s">
        <v>267</v>
      </c>
      <c r="F25" s="19"/>
      <c r="G25" s="19"/>
      <c r="H25" s="19"/>
      <c r="I25" s="19"/>
      <c r="J25" s="19"/>
      <c r="K25" s="19"/>
    </row>
    <row r="26" spans="2:11" x14ac:dyDescent="0.3">
      <c r="B26" s="64" t="s">
        <v>269</v>
      </c>
      <c r="C26" s="248"/>
      <c r="D26" s="248"/>
      <c r="E26" s="248"/>
      <c r="F26" s="248"/>
      <c r="G26" s="248"/>
      <c r="H26" s="248"/>
      <c r="I26" s="248"/>
      <c r="J26" s="248"/>
      <c r="K26" s="248"/>
    </row>
    <row r="27" spans="2:11" x14ac:dyDescent="0.3">
      <c r="B27" s="64" t="s">
        <v>268</v>
      </c>
      <c r="C27" s="249"/>
      <c r="D27" s="249"/>
      <c r="E27" s="249"/>
      <c r="F27" s="249"/>
      <c r="G27" s="249"/>
      <c r="H27" s="249"/>
      <c r="I27" s="249"/>
      <c r="J27" s="249"/>
      <c r="K27" s="2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cb1c85b-b197-48cd-8bb1-fe9e9ee0096b">
      <Terms xmlns="http://schemas.microsoft.com/office/infopath/2007/PartnerControls"/>
    </lcf76f155ced4ddcb4097134ff3c332f>
    <TaxCatchAll xmlns="414a8a67-acf6-4b09-bb49-f84330b442d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FEFE2E46C86D4A9898CCC49B418B36" ma:contentTypeVersion="14" ma:contentTypeDescription="Een nieuw document maken." ma:contentTypeScope="" ma:versionID="df26e2361f59d12fcab5caeb108a0da6">
  <xsd:schema xmlns:xsd="http://www.w3.org/2001/XMLSchema" xmlns:xs="http://www.w3.org/2001/XMLSchema" xmlns:p="http://schemas.microsoft.com/office/2006/metadata/properties" xmlns:ns2="2cb1c85b-b197-48cd-8bb1-fe9e9ee0096b" xmlns:ns3="414a8a67-acf6-4b09-bb49-f84330b442d7" xmlns:ns4="5ad07612-1080-49cf-8fb2-28e7c3022d9a" targetNamespace="http://schemas.microsoft.com/office/2006/metadata/properties" ma:root="true" ma:fieldsID="2ec27913bf823355671e7e45cf2fbb5d" ns2:_="" ns3:_="" ns4:_="">
    <xsd:import namespace="2cb1c85b-b197-48cd-8bb1-fe9e9ee0096b"/>
    <xsd:import namespace="414a8a67-acf6-4b09-bb49-f84330b442d7"/>
    <xsd:import namespace="5ad07612-1080-49cf-8fb2-28e7c3022d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1c85b-b197-48cd-8bb1-fe9e9ee009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c6a8442-1569-46a6-a14f-f23e9ec9d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a8a67-acf6-4b09-bb49-f84330b442d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48ea8ce-d6d7-4c67-93d5-dcdb41321123}" ma:internalName="TaxCatchAll" ma:showField="CatchAllData" ma:web="5ad07612-1080-49cf-8fb2-28e7c3022d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d07612-1080-49cf-8fb2-28e7c3022d9a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D4207F-D9B8-40DC-92E9-5A954D23C191}">
  <ds:schemaRefs>
    <ds:schemaRef ds:uri="http://schemas.microsoft.com/office/2006/documentManagement/types"/>
    <ds:schemaRef ds:uri="http://purl.org/dc/elements/1.1/"/>
    <ds:schemaRef ds:uri="bfe1b49f-1cd4-47d5-a3dc-4ad9ba0da7af"/>
    <ds:schemaRef ds:uri="c2e09757-d42c-4fcd-ae27-c71d4b258210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4DD5ECE-8B9E-4D20-BCB0-8B6BC861F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EC0B96-8581-4757-852A-E63871E3B6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1 Uitleg</vt:lpstr>
      <vt:lpstr>2 Opdrachten</vt:lpstr>
      <vt:lpstr>3 Loon</vt:lpstr>
      <vt:lpstr>A. Opbrengsten</vt:lpstr>
      <vt:lpstr>B Dir.kn teelt</vt:lpstr>
      <vt:lpstr>C Dir.kn arbeid</vt:lpstr>
      <vt:lpstr>D DPM-Grond</vt:lpstr>
      <vt:lpstr>E DPM-Gebouwen</vt:lpstr>
      <vt:lpstr>F DPM-Machines</vt:lpstr>
      <vt:lpstr>G Alg kn</vt:lpstr>
      <vt:lpstr>Saldo en KP</vt:lpstr>
    </vt:vector>
  </TitlesOfParts>
  <Company>Zone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Nienhuis</dc:creator>
  <cp:lastModifiedBy>Ingrid van der Pasch - Lever</cp:lastModifiedBy>
  <dcterms:created xsi:type="dcterms:W3CDTF">2021-01-20T12:37:09Z</dcterms:created>
  <dcterms:modified xsi:type="dcterms:W3CDTF">2023-01-17T20:04:21Z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0x01010079793C7D7F3BC946A5F2904ADE47754D</vt:lpwstr>
  </property>
</Properties>
</file>